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2025 Land Analysis Reports\"/>
    </mc:Choice>
  </mc:AlternateContent>
  <xr:revisionPtr revIDLastSave="0" documentId="13_ncr:1_{4074BD44-8E7A-4FA4-B7D5-9518EE46CB67}" xr6:coauthVersionLast="47" xr6:coauthVersionMax="47" xr10:uidLastSave="{00000000-0000-0000-0000-000000000000}"/>
  <bookViews>
    <workbookView xWindow="28680" yWindow="-120" windowWidth="29040" windowHeight="15720" xr2:uid="{11542931-B37D-4E91-9451-DD622D46AA33}"/>
  </bookViews>
  <sheets>
    <sheet name="Land Analysis"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6" i="2" l="1"/>
  <c r="O86" i="2"/>
  <c r="M86" i="2"/>
  <c r="L86" i="2"/>
  <c r="K86" i="2"/>
  <c r="J86" i="2"/>
  <c r="H86" i="2"/>
  <c r="G86" i="2"/>
  <c r="D86" i="2"/>
  <c r="I2" i="2"/>
  <c r="K2" i="2"/>
  <c r="Q2" i="2" s="1"/>
  <c r="I92" i="2"/>
  <c r="K92" i="2"/>
  <c r="Q92" i="2" s="1"/>
  <c r="R92" i="2"/>
  <c r="S92" i="2"/>
  <c r="I93" i="2"/>
  <c r="K93" i="2"/>
  <c r="S93" i="2" s="1"/>
  <c r="Q93" i="2"/>
  <c r="R93" i="2"/>
  <c r="I94" i="2"/>
  <c r="K94" i="2"/>
  <c r="Q94" i="2" s="1"/>
  <c r="S94" i="2"/>
  <c r="I95" i="2"/>
  <c r="K95" i="2"/>
  <c r="Q95" i="2"/>
  <c r="R95" i="2"/>
  <c r="S95" i="2"/>
  <c r="I96" i="2"/>
  <c r="K96" i="2"/>
  <c r="R96" i="2" s="1"/>
  <c r="Q96" i="2"/>
  <c r="I97" i="2"/>
  <c r="K97" i="2"/>
  <c r="Q97" i="2" s="1"/>
  <c r="R97" i="2"/>
  <c r="S97" i="2"/>
  <c r="I98" i="2"/>
  <c r="K98" i="2"/>
  <c r="R98" i="2" s="1"/>
  <c r="Q98" i="2"/>
  <c r="I99" i="2"/>
  <c r="K99" i="2"/>
  <c r="Q99" i="2" s="1"/>
  <c r="I100" i="2"/>
  <c r="K100" i="2"/>
  <c r="Q100" i="2"/>
  <c r="R100" i="2"/>
  <c r="S100" i="2"/>
  <c r="I101" i="2"/>
  <c r="K101" i="2"/>
  <c r="S101" i="2" s="1"/>
  <c r="Q101" i="2"/>
  <c r="R101" i="2"/>
  <c r="I102" i="2"/>
  <c r="K102" i="2"/>
  <c r="Q102" i="2"/>
  <c r="R102" i="2"/>
  <c r="S102" i="2"/>
  <c r="I103" i="2"/>
  <c r="K103" i="2"/>
  <c r="Q103" i="2" s="1"/>
  <c r="I104" i="2"/>
  <c r="K104" i="2"/>
  <c r="S104" i="2" s="1"/>
  <c r="Q104" i="2"/>
  <c r="R104" i="2"/>
  <c r="I105" i="2"/>
  <c r="K105" i="2"/>
  <c r="S105" i="2" s="1"/>
  <c r="Q105" i="2"/>
  <c r="R105" i="2"/>
  <c r="I106" i="2"/>
  <c r="K106" i="2"/>
  <c r="Q106" i="2"/>
  <c r="R106" i="2"/>
  <c r="S106" i="2"/>
  <c r="I107" i="2"/>
  <c r="K107" i="2"/>
  <c r="Q107" i="2" s="1"/>
  <c r="I108" i="2"/>
  <c r="K108" i="2"/>
  <c r="Q108" i="2"/>
  <c r="R108" i="2"/>
  <c r="S108" i="2"/>
  <c r="I109" i="2"/>
  <c r="K109" i="2"/>
  <c r="S109" i="2" s="1"/>
  <c r="Q109" i="2"/>
  <c r="R109" i="2"/>
  <c r="I110" i="2"/>
  <c r="K110" i="2"/>
  <c r="R110" i="2" s="1"/>
  <c r="Q110" i="2"/>
  <c r="I111" i="2"/>
  <c r="K111" i="2"/>
  <c r="Q111" i="2"/>
  <c r="R111" i="2"/>
  <c r="S111" i="2"/>
  <c r="I112" i="2"/>
  <c r="K112" i="2"/>
  <c r="R112" i="2" s="1"/>
  <c r="Q112" i="2"/>
  <c r="I113" i="2"/>
  <c r="K113" i="2"/>
  <c r="Q113" i="2" s="1"/>
  <c r="R113" i="2"/>
  <c r="S113" i="2"/>
  <c r="I114" i="2"/>
  <c r="K114" i="2"/>
  <c r="Q114" i="2"/>
  <c r="R114" i="2"/>
  <c r="S114" i="2"/>
  <c r="I115" i="2"/>
  <c r="K115" i="2"/>
  <c r="Q115" i="2" s="1"/>
  <c r="I116" i="2"/>
  <c r="K116" i="2"/>
  <c r="Q116" i="2" s="1"/>
  <c r="R116" i="2"/>
  <c r="S116" i="2"/>
  <c r="I117" i="2"/>
  <c r="K117" i="2"/>
  <c r="S117" i="2" s="1"/>
  <c r="Q117" i="2"/>
  <c r="R117" i="2"/>
  <c r="I118" i="2"/>
  <c r="K118" i="2"/>
  <c r="Q118" i="2" s="1"/>
  <c r="S118" i="2"/>
  <c r="I119" i="2"/>
  <c r="K119" i="2"/>
  <c r="Q119" i="2"/>
  <c r="R119" i="2"/>
  <c r="S119" i="2"/>
  <c r="I120" i="2"/>
  <c r="K120" i="2"/>
  <c r="R120" i="2" s="1"/>
  <c r="Q120" i="2"/>
  <c r="I121" i="2"/>
  <c r="K121" i="2"/>
  <c r="Q121" i="2" s="1"/>
  <c r="R121" i="2"/>
  <c r="S121" i="2"/>
  <c r="I122" i="2"/>
  <c r="K122" i="2"/>
  <c r="R122" i="2" s="1"/>
  <c r="Q122" i="2"/>
  <c r="I123" i="2"/>
  <c r="K123" i="2"/>
  <c r="Q123" i="2" s="1"/>
  <c r="I124" i="2"/>
  <c r="K124" i="2"/>
  <c r="Q124" i="2"/>
  <c r="R124" i="2"/>
  <c r="S124" i="2"/>
  <c r="I125" i="2"/>
  <c r="K125" i="2"/>
  <c r="S125" i="2" s="1"/>
  <c r="Q125" i="2"/>
  <c r="R125" i="2"/>
  <c r="I126" i="2"/>
  <c r="K126" i="2"/>
  <c r="Q126" i="2"/>
  <c r="R126" i="2"/>
  <c r="S126" i="2"/>
  <c r="I127" i="2"/>
  <c r="K127" i="2"/>
  <c r="Q127" i="2" s="1"/>
  <c r="I128" i="2"/>
  <c r="K128" i="2"/>
  <c r="S128" i="2" s="1"/>
  <c r="Q128" i="2"/>
  <c r="R128" i="2"/>
  <c r="I129" i="2"/>
  <c r="K129" i="2"/>
  <c r="S129" i="2" s="1"/>
  <c r="Q129" i="2"/>
  <c r="R129" i="2"/>
  <c r="I130" i="2"/>
  <c r="K130" i="2"/>
  <c r="Q130" i="2"/>
  <c r="R130" i="2"/>
  <c r="S130" i="2"/>
  <c r="I131" i="2"/>
  <c r="K131" i="2"/>
  <c r="Q131" i="2" s="1"/>
  <c r="I132" i="2"/>
  <c r="K132" i="2"/>
  <c r="Q132" i="2"/>
  <c r="R132" i="2"/>
  <c r="S132" i="2"/>
  <c r="I133" i="2"/>
  <c r="K133" i="2"/>
  <c r="S133" i="2" s="1"/>
  <c r="Q133" i="2"/>
  <c r="R133" i="2"/>
  <c r="I134" i="2"/>
  <c r="K134" i="2"/>
  <c r="R134" i="2" s="1"/>
  <c r="Q134" i="2"/>
  <c r="I135" i="2"/>
  <c r="K135" i="2"/>
  <c r="Q135" i="2"/>
  <c r="R135" i="2"/>
  <c r="S135" i="2"/>
  <c r="I136" i="2"/>
  <c r="K136" i="2"/>
  <c r="R136" i="2" s="1"/>
  <c r="Q136" i="2"/>
  <c r="I137" i="2"/>
  <c r="K137" i="2"/>
  <c r="Q137" i="2" s="1"/>
  <c r="R137" i="2"/>
  <c r="S137" i="2"/>
  <c r="I138" i="2"/>
  <c r="K138" i="2"/>
  <c r="Q138" i="2"/>
  <c r="R138" i="2"/>
  <c r="S138" i="2"/>
  <c r="I139" i="2"/>
  <c r="K139" i="2"/>
  <c r="Q139" i="2" s="1"/>
  <c r="I140" i="2"/>
  <c r="K140" i="2"/>
  <c r="Q140" i="2" s="1"/>
  <c r="R140" i="2"/>
  <c r="S140" i="2"/>
  <c r="I141" i="2"/>
  <c r="K141" i="2"/>
  <c r="S141" i="2" s="1"/>
  <c r="Q141" i="2"/>
  <c r="R141" i="2"/>
  <c r="I142" i="2"/>
  <c r="K142" i="2"/>
  <c r="Q142" i="2" s="1"/>
  <c r="S142" i="2"/>
  <c r="I143" i="2"/>
  <c r="K143" i="2"/>
  <c r="Q143" i="2"/>
  <c r="R143" i="2"/>
  <c r="S143" i="2"/>
  <c r="I144" i="2"/>
  <c r="K144" i="2"/>
  <c r="R144" i="2" s="1"/>
  <c r="Q144" i="2"/>
  <c r="I145" i="2"/>
  <c r="K145" i="2"/>
  <c r="Q145" i="2" s="1"/>
  <c r="R145" i="2"/>
  <c r="S145" i="2"/>
  <c r="I146" i="2"/>
  <c r="K146" i="2"/>
  <c r="R146" i="2" s="1"/>
  <c r="Q146" i="2"/>
  <c r="I147" i="2"/>
  <c r="K147" i="2"/>
  <c r="Q147" i="2" s="1"/>
  <c r="I148" i="2"/>
  <c r="K148" i="2"/>
  <c r="Q148" i="2"/>
  <c r="R148" i="2"/>
  <c r="S148" i="2"/>
  <c r="I149" i="2"/>
  <c r="K149" i="2"/>
  <c r="S149" i="2" s="1"/>
  <c r="Q149" i="2"/>
  <c r="R149" i="2"/>
  <c r="I150" i="2"/>
  <c r="K150" i="2"/>
  <c r="R150" i="2" s="1"/>
  <c r="Q150" i="2"/>
  <c r="S150" i="2"/>
  <c r="I151" i="2"/>
  <c r="K151" i="2"/>
  <c r="Q151" i="2" s="1"/>
  <c r="I152" i="2"/>
  <c r="K152" i="2"/>
  <c r="S152" i="2" s="1"/>
  <c r="Q152" i="2"/>
  <c r="R152" i="2"/>
  <c r="I153" i="2"/>
  <c r="K153" i="2"/>
  <c r="S153" i="2" s="1"/>
  <c r="Q153" i="2"/>
  <c r="I154" i="2"/>
  <c r="K154" i="2"/>
  <c r="Q154" i="2"/>
  <c r="R154" i="2"/>
  <c r="S154" i="2"/>
  <c r="I155" i="2"/>
  <c r="K155" i="2"/>
  <c r="Q155" i="2" s="1"/>
  <c r="I156" i="2"/>
  <c r="K156" i="2"/>
  <c r="Q156" i="2"/>
  <c r="R156" i="2"/>
  <c r="S156" i="2"/>
  <c r="I157" i="2"/>
  <c r="K157" i="2"/>
  <c r="S157" i="2" s="1"/>
  <c r="Q157" i="2"/>
  <c r="R157" i="2"/>
  <c r="I158" i="2"/>
  <c r="K158" i="2"/>
  <c r="R158" i="2" s="1"/>
  <c r="Q158" i="2"/>
  <c r="I159" i="2"/>
  <c r="K159" i="2"/>
  <c r="Q159" i="2"/>
  <c r="R159" i="2"/>
  <c r="S159" i="2"/>
  <c r="I160" i="2"/>
  <c r="K160" i="2"/>
  <c r="R160" i="2" s="1"/>
  <c r="Q160" i="2"/>
  <c r="I161" i="2"/>
  <c r="K161" i="2"/>
  <c r="Q161" i="2" s="1"/>
  <c r="R161" i="2"/>
  <c r="S161" i="2"/>
  <c r="I162" i="2"/>
  <c r="K162" i="2"/>
  <c r="Q162" i="2"/>
  <c r="R162" i="2"/>
  <c r="S162" i="2"/>
  <c r="I163" i="2"/>
  <c r="K163" i="2"/>
  <c r="Q163" i="2" s="1"/>
  <c r="I164" i="2"/>
  <c r="K164" i="2"/>
  <c r="Q164" i="2" s="1"/>
  <c r="R164" i="2"/>
  <c r="S164" i="2"/>
  <c r="I165" i="2"/>
  <c r="K165" i="2"/>
  <c r="S165" i="2" s="1"/>
  <c r="Q165" i="2"/>
  <c r="R165" i="2"/>
  <c r="I166" i="2"/>
  <c r="K166" i="2"/>
  <c r="Q166" i="2" s="1"/>
  <c r="S166" i="2"/>
  <c r="I167" i="2"/>
  <c r="K167" i="2"/>
  <c r="Q167" i="2"/>
  <c r="R167" i="2"/>
  <c r="S167" i="2"/>
  <c r="I168" i="2"/>
  <c r="K168" i="2"/>
  <c r="R168" i="2" s="1"/>
  <c r="Q168" i="2"/>
  <c r="I169" i="2"/>
  <c r="K169" i="2"/>
  <c r="Q169" i="2" s="1"/>
  <c r="R169" i="2"/>
  <c r="S169" i="2"/>
  <c r="I170" i="2"/>
  <c r="K170" i="2"/>
  <c r="R170" i="2" s="1"/>
  <c r="Q170" i="2"/>
  <c r="I171" i="2"/>
  <c r="K171" i="2"/>
  <c r="Q171" i="2" s="1"/>
  <c r="I172" i="2"/>
  <c r="K172" i="2"/>
  <c r="Q172" i="2"/>
  <c r="R172" i="2"/>
  <c r="S172" i="2"/>
  <c r="I173" i="2"/>
  <c r="K173" i="2"/>
  <c r="S173" i="2" s="1"/>
  <c r="Q173" i="2"/>
  <c r="R173" i="2"/>
  <c r="I174" i="2"/>
  <c r="K174" i="2"/>
  <c r="R174" i="2" s="1"/>
  <c r="Q174" i="2"/>
  <c r="S174" i="2"/>
  <c r="R153" i="2" l="1"/>
  <c r="S171" i="2"/>
  <c r="R166" i="2"/>
  <c r="S155" i="2"/>
  <c r="S147" i="2"/>
  <c r="R142" i="2"/>
  <c r="S131" i="2"/>
  <c r="S123" i="2"/>
  <c r="R118" i="2"/>
  <c r="S107" i="2"/>
  <c r="S99" i="2"/>
  <c r="R94" i="2"/>
  <c r="R171" i="2"/>
  <c r="S168" i="2"/>
  <c r="S160" i="2"/>
  <c r="R155" i="2"/>
  <c r="R147" i="2"/>
  <c r="S144" i="2"/>
  <c r="S136" i="2"/>
  <c r="R131" i="2"/>
  <c r="R123" i="2"/>
  <c r="S120" i="2"/>
  <c r="S112" i="2"/>
  <c r="R107" i="2"/>
  <c r="R99" i="2"/>
  <c r="S96" i="2"/>
  <c r="S163" i="2"/>
  <c r="S151" i="2"/>
  <c r="S139" i="2"/>
  <c r="S127" i="2"/>
  <c r="S115" i="2"/>
  <c r="S103" i="2"/>
  <c r="S2" i="2"/>
  <c r="S170" i="2"/>
  <c r="R163" i="2"/>
  <c r="S158" i="2"/>
  <c r="R151" i="2"/>
  <c r="S146" i="2"/>
  <c r="R139" i="2"/>
  <c r="S134" i="2"/>
  <c r="R127" i="2"/>
  <c r="S122" i="2"/>
  <c r="R115" i="2"/>
  <c r="S110" i="2"/>
  <c r="R103" i="2"/>
  <c r="S98" i="2"/>
  <c r="R2" i="2"/>
  <c r="I87" i="2" l="1"/>
  <c r="M88" i="2"/>
  <c r="S88" i="2"/>
  <c r="P88" i="2"/>
  <c r="I88" i="2"/>
</calcChain>
</file>

<file path=xl/sharedStrings.xml><?xml version="1.0" encoding="utf-8"?>
<sst xmlns="http://schemas.openxmlformats.org/spreadsheetml/2006/main" count="812" uniqueCount="313">
  <si>
    <t>Parcel Number</t>
  </si>
  <si>
    <t>Street Address</t>
  </si>
  <si>
    <t>Sale Date</t>
  </si>
  <si>
    <t>Sale Price</t>
  </si>
  <si>
    <t>Instr.</t>
  </si>
  <si>
    <t>Terms of Sale</t>
  </si>
  <si>
    <t>Adj. Sale $</t>
  </si>
  <si>
    <t>Asd. when Sold</t>
  </si>
  <si>
    <t>Asd/Adj. Sale</t>
  </si>
  <si>
    <t>Cur. Appraisal</t>
  </si>
  <si>
    <t>Land Residual</t>
  </si>
  <si>
    <t>Est. Land Value</t>
  </si>
  <si>
    <t>Effec. Front</t>
  </si>
  <si>
    <t>Depth</t>
  </si>
  <si>
    <t>Net Acres</t>
  </si>
  <si>
    <t>Total Acres</t>
  </si>
  <si>
    <t>Dollars/FF</t>
  </si>
  <si>
    <t>Dollars/Acre</t>
  </si>
  <si>
    <t>Dollars/SqFt</t>
  </si>
  <si>
    <t>Actual Front</t>
  </si>
  <si>
    <t>ECF Area</t>
  </si>
  <si>
    <t>Liber/Page</t>
  </si>
  <si>
    <t>Other Parcels in Sale</t>
  </si>
  <si>
    <t>Land Table</t>
  </si>
  <si>
    <t>Gravel</t>
  </si>
  <si>
    <t>Paved</t>
  </si>
  <si>
    <t>Inspected Date</t>
  </si>
  <si>
    <t>Use Code</t>
  </si>
  <si>
    <t>Class</t>
  </si>
  <si>
    <t>Rate Group 1</t>
  </si>
  <si>
    <t>Rate Group 2</t>
  </si>
  <si>
    <t>Rate Group 3</t>
  </si>
  <si>
    <t>Site Characteristics</t>
  </si>
  <si>
    <t>Access</t>
  </si>
  <si>
    <t>Water Supply</t>
  </si>
  <si>
    <t>Sewer</t>
  </si>
  <si>
    <t>Property Restrictions</t>
  </si>
  <si>
    <t>Restriction Notes</t>
  </si>
  <si>
    <t>Waterfont View</t>
  </si>
  <si>
    <t>Waterfront</t>
  </si>
  <si>
    <t>Waterfront Name</t>
  </si>
  <si>
    <t>Waterfront Ownership</t>
  </si>
  <si>
    <t>Waterfront Influences</t>
  </si>
  <si>
    <t>Bottom Character</t>
  </si>
  <si>
    <t>003-003-035-1650</t>
  </si>
  <si>
    <t>7910 PHELPS</t>
  </si>
  <si>
    <t>WD</t>
  </si>
  <si>
    <t>03-ARM'S LENGTH</t>
  </si>
  <si>
    <t>4010</t>
  </si>
  <si>
    <t>L228/P838</t>
  </si>
  <si>
    <t>4400 VILLAGE OF NEWBERRY DIST. 1-6</t>
  </si>
  <si>
    <t>NOT INSPECTED</t>
  </si>
  <si>
    <t>401</t>
  </si>
  <si>
    <t>2ND BCK LOT $25</t>
  </si>
  <si>
    <t>003-003-035-4400</t>
  </si>
  <si>
    <t>14444 CO RD 428</t>
  </si>
  <si>
    <t>4001</t>
  </si>
  <si>
    <t>L236/P593</t>
  </si>
  <si>
    <t>Dist. #2 WEST</t>
  </si>
  <si>
    <t>003-180-000-0320</t>
  </si>
  <si>
    <t>509 W VICTORY WAY</t>
  </si>
  <si>
    <t>4400</t>
  </si>
  <si>
    <t>L234/P715</t>
  </si>
  <si>
    <t>041-003-250-6400</t>
  </si>
  <si>
    <t>418 E MCMILLAN AVE</t>
  </si>
  <si>
    <t>L230/P82</t>
  </si>
  <si>
    <t>Dist.#1 EAST</t>
  </si>
  <si>
    <t>L235/P682</t>
  </si>
  <si>
    <t>041-003-251-0400</t>
  </si>
  <si>
    <t>406 E AVE A</t>
  </si>
  <si>
    <t>L231/P460</t>
  </si>
  <si>
    <t>041-003-251-1200</t>
  </si>
  <si>
    <t>501 E AVE B</t>
  </si>
  <si>
    <t>L231/P643</t>
  </si>
  <si>
    <t>041-003-251-1500</t>
  </si>
  <si>
    <t>514 E AVE B</t>
  </si>
  <si>
    <t>L234/P748</t>
  </si>
  <si>
    <t>201</t>
  </si>
  <si>
    <t>041-003-251-3100</t>
  </si>
  <si>
    <t>809 VULCAN ST</t>
  </si>
  <si>
    <t>PTA</t>
  </si>
  <si>
    <t>041-003-251-5010</t>
  </si>
  <si>
    <t>502 E AVE D</t>
  </si>
  <si>
    <t>L228/P493</t>
  </si>
  <si>
    <t>041-003-260-2600</t>
  </si>
  <si>
    <t>505 W JOHN ST</t>
  </si>
  <si>
    <t>QC</t>
  </si>
  <si>
    <t>L233/P828</t>
  </si>
  <si>
    <t>041-100-040-0850</t>
  </si>
  <si>
    <t>219 W HELEN ST</t>
  </si>
  <si>
    <t>L231/P338</t>
  </si>
  <si>
    <t>041-100-070-1800</t>
  </si>
  <si>
    <t>217 E JOHN ST</t>
  </si>
  <si>
    <t>L237/P500</t>
  </si>
  <si>
    <t>041-100-150-0600</t>
  </si>
  <si>
    <t>208 E TRUMAN BLVD</t>
  </si>
  <si>
    <t>041-100-150-1300</t>
  </si>
  <si>
    <t>207 E HARRIE ST</t>
  </si>
  <si>
    <t>L235/P792</t>
  </si>
  <si>
    <t>041-100-160-0100</t>
  </si>
  <si>
    <t>322 E TRUMAN BLVD</t>
  </si>
  <si>
    <t>L229/P513</t>
  </si>
  <si>
    <t>041-100-160-1000</t>
  </si>
  <si>
    <t>304 E TRUMAN BLVD</t>
  </si>
  <si>
    <t>/234/P301</t>
  </si>
  <si>
    <t>041-100-240-0400</t>
  </si>
  <si>
    <t>314 E HELEN ST</t>
  </si>
  <si>
    <t>L232/P944</t>
  </si>
  <si>
    <t>L236/P619</t>
  </si>
  <si>
    <t>041-100-240-0500</t>
  </si>
  <si>
    <t>312 E HELEN ST</t>
  </si>
  <si>
    <t>L236/P854</t>
  </si>
  <si>
    <t>041-100-240-0600</t>
  </si>
  <si>
    <t>L236/P857</t>
  </si>
  <si>
    <t>041-100-240-1500</t>
  </si>
  <si>
    <t>305 E JOHN ST</t>
  </si>
  <si>
    <t>MLC</t>
  </si>
  <si>
    <t>L232/P568</t>
  </si>
  <si>
    <t>041-100-300-0700</t>
  </si>
  <si>
    <t>206 E HARRIE ST</t>
  </si>
  <si>
    <t>L235/P32</t>
  </si>
  <si>
    <t>041-100-300-0800</t>
  </si>
  <si>
    <t>204 E HARRIE ST</t>
  </si>
  <si>
    <t>CD</t>
  </si>
  <si>
    <t>L236/P324</t>
  </si>
  <si>
    <t>041-100-300-1200</t>
  </si>
  <si>
    <t>209 E MCMILLAN AVE</t>
  </si>
  <si>
    <t>L232/P763</t>
  </si>
  <si>
    <t>041-100-330-0200</t>
  </si>
  <si>
    <t>203 W HARRIE ST</t>
  </si>
  <si>
    <t>LC</t>
  </si>
  <si>
    <t>L235/161</t>
  </si>
  <si>
    <t>041-100-330-0300</t>
  </si>
  <si>
    <t>205 W HARRIE ST</t>
  </si>
  <si>
    <t>L231/P342</t>
  </si>
  <si>
    <t>041-100-330-0800</t>
  </si>
  <si>
    <t>215 W HARRIE ST</t>
  </si>
  <si>
    <t>L234/P882</t>
  </si>
  <si>
    <t>041-134-340-0950</t>
  </si>
  <si>
    <t>306 W MCMILLAN AVE</t>
  </si>
  <si>
    <t>L229/P441</t>
  </si>
  <si>
    <t>041-134-410-1200</t>
  </si>
  <si>
    <t>215 E AVE A</t>
  </si>
  <si>
    <t>L234/P513</t>
  </si>
  <si>
    <t>041-134-410-1300</t>
  </si>
  <si>
    <t>211 E AVE A</t>
  </si>
  <si>
    <t>041-134-430-0900</t>
  </si>
  <si>
    <t>109 E AVE B</t>
  </si>
  <si>
    <t>L231/P641</t>
  </si>
  <si>
    <t>041-134-450-0500</t>
  </si>
  <si>
    <t>209 W AVE A</t>
  </si>
  <si>
    <t>L228/P697</t>
  </si>
  <si>
    <t>041-134-450-0600</t>
  </si>
  <si>
    <t>205 W AVE A</t>
  </si>
  <si>
    <t>L228/P826</t>
  </si>
  <si>
    <t>041-134-450-1000</t>
  </si>
  <si>
    <t>202 W AVE B</t>
  </si>
  <si>
    <t>L228/P366</t>
  </si>
  <si>
    <t>041-134-450-1700</t>
  </si>
  <si>
    <t>216 W AVE B</t>
  </si>
  <si>
    <t>L231/P152</t>
  </si>
  <si>
    <t>041-134-460-1600</t>
  </si>
  <si>
    <t>312 W AVE B</t>
  </si>
  <si>
    <t>L232/P115</t>
  </si>
  <si>
    <t>041-134-470-1100</t>
  </si>
  <si>
    <t>402 W AVE B</t>
  </si>
  <si>
    <t>L237/P60</t>
  </si>
  <si>
    <t>041-134-470-1300</t>
  </si>
  <si>
    <t>408 W AVE B</t>
  </si>
  <si>
    <t>L233/P196</t>
  </si>
  <si>
    <t>041-148-480-1000</t>
  </si>
  <si>
    <t>321 W RAILROAD ST</t>
  </si>
  <si>
    <t>L231/P770</t>
  </si>
  <si>
    <t>041-148-490-0400</t>
  </si>
  <si>
    <t>309 W HELEN ST</t>
  </si>
  <si>
    <t>L235/P746</t>
  </si>
  <si>
    <t>041-148-490-1000</t>
  </si>
  <si>
    <t>321 W HELEN ST</t>
  </si>
  <si>
    <t>L232/P731</t>
  </si>
  <si>
    <t>041-148-500-1300</t>
  </si>
  <si>
    <t>316 W TRUMAN BLVD</t>
  </si>
  <si>
    <t>L236/P942</t>
  </si>
  <si>
    <t>041-201-010-1400</t>
  </si>
  <si>
    <t>402 E TRUMAN BLVD</t>
  </si>
  <si>
    <t>L229/P106</t>
  </si>
  <si>
    <t>041-201-020-0900</t>
  </si>
  <si>
    <t>414 E HARRIE ST</t>
  </si>
  <si>
    <t>L229/P772</t>
  </si>
  <si>
    <t>041-201-020-1100</t>
  </si>
  <si>
    <t>410 E HARRIE ST</t>
  </si>
  <si>
    <t>L229/P583</t>
  </si>
  <si>
    <t>041-203-040-0100</t>
  </si>
  <si>
    <t>414 E AVE B</t>
  </si>
  <si>
    <t>L233/P219</t>
  </si>
  <si>
    <t>041-203-040-1200</t>
  </si>
  <si>
    <t>811 CHARLES ST</t>
  </si>
  <si>
    <t>L231/P58</t>
  </si>
  <si>
    <t>041-203-050-1600</t>
  </si>
  <si>
    <t>812 VULCAN ST</t>
  </si>
  <si>
    <t>L232/P48</t>
  </si>
  <si>
    <t>041-206-060-0100</t>
  </si>
  <si>
    <t>403 W JOHN ST</t>
  </si>
  <si>
    <t>L228/P706</t>
  </si>
  <si>
    <t>041-206-060-0700</t>
  </si>
  <si>
    <t>413 W JOHN ST</t>
  </si>
  <si>
    <t>L230/P4</t>
  </si>
  <si>
    <t>041-206-060-0900</t>
  </si>
  <si>
    <t>410 W TRUMAN BLVD</t>
  </si>
  <si>
    <t>L229/P467</t>
  </si>
  <si>
    <t>041-206-070-5000</t>
  </si>
  <si>
    <t>608 W HARRIE ST</t>
  </si>
  <si>
    <t>L234/P428</t>
  </si>
  <si>
    <t>041-206-110-1500</t>
  </si>
  <si>
    <t>516 W AVE C</t>
  </si>
  <si>
    <t>L232/P468</t>
  </si>
  <si>
    <t>041-206-110-1700</t>
  </si>
  <si>
    <t>512 W AVE C</t>
  </si>
  <si>
    <t>L235/P1</t>
  </si>
  <si>
    <t>041-206-120-0400</t>
  </si>
  <si>
    <t>411 W AVE B</t>
  </si>
  <si>
    <t>L235/P525</t>
  </si>
  <si>
    <t>041-206-120-1300</t>
  </si>
  <si>
    <t>404 W AVE C</t>
  </si>
  <si>
    <t>L231/P895</t>
  </si>
  <si>
    <t>041-206-120-1400</t>
  </si>
  <si>
    <t>400 W AVE C</t>
  </si>
  <si>
    <t>L228/P231</t>
  </si>
  <si>
    <t>041-206-130-0100</t>
  </si>
  <si>
    <t>301 W AVE B</t>
  </si>
  <si>
    <t>L30/P974</t>
  </si>
  <si>
    <t>041-206-130-0500</t>
  </si>
  <si>
    <t>309 W AVE B</t>
  </si>
  <si>
    <t>L236/P258</t>
  </si>
  <si>
    <t>041-206-130-1100</t>
  </si>
  <si>
    <t>308 W AVE C</t>
  </si>
  <si>
    <t>L232/P365</t>
  </si>
  <si>
    <t>041-206-130-1400</t>
  </si>
  <si>
    <t>302 W AVE C</t>
  </si>
  <si>
    <t>L230/P94</t>
  </si>
  <si>
    <t>041-206-140-0900</t>
  </si>
  <si>
    <t>208 W AVE C</t>
  </si>
  <si>
    <t>L228/P611</t>
  </si>
  <si>
    <t>041-206-140-1200</t>
  </si>
  <si>
    <t>202 W AVE C</t>
  </si>
  <si>
    <t>L234/P607</t>
  </si>
  <si>
    <t>041-206-150-0100</t>
  </si>
  <si>
    <t>804 NEWBERRY AVE</t>
  </si>
  <si>
    <t>L231/P509</t>
  </si>
  <si>
    <t xml:space="preserve">Dist #3 - MAIN </t>
  </si>
  <si>
    <t>041-206-150-0600</t>
  </si>
  <si>
    <t>114 W AVE C</t>
  </si>
  <si>
    <t>L228/P930</t>
  </si>
  <si>
    <t>041-206-150-0700</t>
  </si>
  <si>
    <t>113 W AVE B</t>
  </si>
  <si>
    <t>L230/P534</t>
  </si>
  <si>
    <t>041-206-160-0650</t>
  </si>
  <si>
    <t>106 W AVE D</t>
  </si>
  <si>
    <t>L229/P854</t>
  </si>
  <si>
    <t>041-206-160-0800</t>
  </si>
  <si>
    <t>107 W AVE C</t>
  </si>
  <si>
    <t>L233/P437</t>
  </si>
  <si>
    <t>041-206-170-1000</t>
  </si>
  <si>
    <t>204 W AVE D</t>
  </si>
  <si>
    <t>L235/P299</t>
  </si>
  <si>
    <t>041-206-180-0100</t>
  </si>
  <si>
    <t>301 W AVE C</t>
  </si>
  <si>
    <t>L231/P514</t>
  </si>
  <si>
    <t>041-206-180-0400</t>
  </si>
  <si>
    <t>309 W AVE C</t>
  </si>
  <si>
    <t>L236/P101</t>
  </si>
  <si>
    <t>041-206-180-0500</t>
  </si>
  <si>
    <t>311 W AVE C</t>
  </si>
  <si>
    <t>L233/P689</t>
  </si>
  <si>
    <t>041-206-180-1200</t>
  </si>
  <si>
    <t>306 W AVE D</t>
  </si>
  <si>
    <t>L229/P664</t>
  </si>
  <si>
    <t>041-206-180-1300</t>
  </si>
  <si>
    <t>304 W AVE D</t>
  </si>
  <si>
    <t>L235/P667</t>
  </si>
  <si>
    <t>041-206-220-0700</t>
  </si>
  <si>
    <t>411 W AVE D</t>
  </si>
  <si>
    <t>L234/P658</t>
  </si>
  <si>
    <t>041-206-240-0400</t>
  </si>
  <si>
    <t>205 W AVE D</t>
  </si>
  <si>
    <t>L237/P276</t>
  </si>
  <si>
    <t>041-226-260-0500</t>
  </si>
  <si>
    <t>111 E AVE C</t>
  </si>
  <si>
    <t>L231/P91</t>
  </si>
  <si>
    <t>041-226-260-1000</t>
  </si>
  <si>
    <t>112 E AVE B</t>
  </si>
  <si>
    <t>L230/P501</t>
  </si>
  <si>
    <t>041-226-270-1300</t>
  </si>
  <si>
    <t>211 E AVE C</t>
  </si>
  <si>
    <t>L230/P321</t>
  </si>
  <si>
    <t>041-230-300-1100</t>
  </si>
  <si>
    <t>404 E JOHN ST</t>
  </si>
  <si>
    <t>L235/P451</t>
  </si>
  <si>
    <t>041-230-300-1200</t>
  </si>
  <si>
    <t>402 E JOHN ST</t>
  </si>
  <si>
    <t>041-250-000-0700</t>
  </si>
  <si>
    <t>423 E VICTORY WAY</t>
  </si>
  <si>
    <t>L232/P384</t>
  </si>
  <si>
    <t>041-250-000-1600</t>
  </si>
  <si>
    <t>402 E AVE D</t>
  </si>
  <si>
    <t>L228/P260</t>
  </si>
  <si>
    <t>Totals:</t>
  </si>
  <si>
    <t>Sale. Ratio =&gt;</t>
  </si>
  <si>
    <t>Average</t>
  </si>
  <si>
    <t>Std. Dev. =&gt;</t>
  </si>
  <si>
    <t>per FF=&gt;</t>
  </si>
  <si>
    <t>per Net Acre=&gt;</t>
  </si>
  <si>
    <t>per SqFt=&gt;</t>
  </si>
  <si>
    <t xml:space="preserve">2025 Village of Newberry 2nd back lot  Land Residual Analysis.  There was only one available sale in the Village of Newberry 2nd Back Lot rate group.  There have been no sales in this group for a good number of years.  The results of the analysis resulted in a front foot rate of $401 per front foot which does is not consistent for a back lot value especially when the font foot values of $114 to $157 per front foot in the other Village of Newberry districts.  The 2nd back lot rates need to to be further analyzed for an accurate front foot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</si>
</sst>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0_);[Red]\(#0.00\)"/>
    <numFmt numFmtId="165" formatCode="mm/dd/yy"/>
    <numFmt numFmtId="166" formatCode="#,##0.0_);[Red]\(#,##0.0\)"/>
    <numFmt numFmtId="167" formatCode="#0.0_);[Red]\(#0.0\)"/>
    <numFmt numFmtId="168" formatCode="&quot;$&quot;#,##0_);[Red]\(&quot;$&quot;#,##0.00\)"/>
  </numFmts>
  <fonts count="4" x14ac:knownFonts="1">
    <font>
      <sz val="11"/>
      <color theme="1"/>
      <name val="Calibri"/>
      <family val="2"/>
      <scheme val="minor"/>
    </font>
    <font>
      <b/>
      <sz val="11"/>
      <color theme="1"/>
      <name val="Calibri"/>
      <family val="2"/>
      <scheme val="minor"/>
    </font>
    <font>
      <b/>
      <sz val="11"/>
      <color rgb="FFFFFFFF"/>
      <name val="Calibri"/>
      <family val="2"/>
      <scheme val="minor"/>
    </font>
    <font>
      <b/>
      <sz val="11"/>
      <color rgb="FF000000"/>
      <name val="Calibri"/>
      <family val="2"/>
      <scheme val="minor"/>
    </font>
  </fonts>
  <fills count="4">
    <fill>
      <patternFill patternType="none"/>
    </fill>
    <fill>
      <patternFill patternType="gray125"/>
    </fill>
    <fill>
      <patternFill patternType="solid">
        <fgColor rgb="FF008080"/>
        <bgColor indexed="64"/>
      </patternFill>
    </fill>
    <fill>
      <patternFill patternType="solid">
        <fgColor rgb="FFFFFFFF"/>
        <bgColor indexed="64"/>
      </patternFill>
    </fill>
  </fills>
  <borders count="3">
    <border>
      <left/>
      <right/>
      <top/>
      <bottom/>
      <diagonal/>
    </border>
    <border>
      <left/>
      <right/>
      <top style="double">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2" borderId="0" xfId="0" applyFont="1" applyFill="1" applyAlignment="1">
      <alignment horizontal="center"/>
    </xf>
    <xf numFmtId="0" fontId="0" fillId="0" borderId="0" xfId="0" applyAlignment="1">
      <alignment horizontal="center"/>
    </xf>
    <xf numFmtId="0" fontId="2" fillId="2" borderId="0" xfId="0" applyFont="1" applyFill="1" applyAlignment="1">
      <alignment horizontal="right"/>
    </xf>
    <xf numFmtId="0" fontId="0" fillId="0" borderId="0" xfId="0" applyAlignment="1">
      <alignment horizontal="right"/>
    </xf>
    <xf numFmtId="0" fontId="0" fillId="0" borderId="0" xfId="0" quotePrefix="1" applyAlignment="1">
      <alignment horizontal="right"/>
    </xf>
    <xf numFmtId="0" fontId="0" fillId="0" borderId="0" xfId="0" quotePrefix="1"/>
    <xf numFmtId="0" fontId="3" fillId="3" borderId="1" xfId="0" applyFont="1" applyFill="1" applyBorder="1"/>
    <xf numFmtId="0" fontId="3" fillId="3" borderId="1" xfId="0" applyFont="1" applyFill="1" applyBorder="1" applyAlignment="1">
      <alignment horizontal="right"/>
    </xf>
    <xf numFmtId="0" fontId="3" fillId="3" borderId="0" xfId="0" applyFont="1" applyFill="1"/>
    <xf numFmtId="0" fontId="3" fillId="3" borderId="0" xfId="0" applyFont="1" applyFill="1" applyAlignment="1">
      <alignment horizontal="right"/>
    </xf>
    <xf numFmtId="0" fontId="3" fillId="3" borderId="2" xfId="0" applyFont="1" applyFill="1" applyBorder="1"/>
    <xf numFmtId="0" fontId="3" fillId="3" borderId="2" xfId="0" applyFont="1" applyFill="1" applyBorder="1" applyAlignment="1">
      <alignment horizontal="right"/>
    </xf>
    <xf numFmtId="6" fontId="2" fillId="2" borderId="0" xfId="0" applyNumberFormat="1" applyFont="1" applyFill="1" applyAlignment="1">
      <alignment horizontal="center"/>
    </xf>
    <xf numFmtId="6" fontId="0" fillId="0" borderId="0" xfId="0" applyNumberFormat="1"/>
    <xf numFmtId="6" fontId="3" fillId="3" borderId="1" xfId="0" applyNumberFormat="1" applyFont="1" applyFill="1" applyBorder="1"/>
    <xf numFmtId="6" fontId="3" fillId="3" borderId="0" xfId="0" applyNumberFormat="1" applyFont="1" applyFill="1"/>
    <xf numFmtId="6" fontId="3" fillId="3" borderId="2" xfId="0" applyNumberFormat="1" applyFont="1" applyFill="1" applyBorder="1"/>
    <xf numFmtId="164" fontId="2" fillId="2" borderId="0" xfId="0" applyNumberFormat="1" applyFont="1" applyFill="1" applyAlignment="1">
      <alignment horizontal="center"/>
    </xf>
    <xf numFmtId="164" fontId="0" fillId="0" borderId="0" xfId="0" applyNumberFormat="1"/>
    <xf numFmtId="164" fontId="3" fillId="3" borderId="1" xfId="0" applyNumberFormat="1" applyFont="1" applyFill="1" applyBorder="1"/>
    <xf numFmtId="164" fontId="3" fillId="3" borderId="0" xfId="0" applyNumberFormat="1" applyFont="1" applyFill="1"/>
    <xf numFmtId="164" fontId="3" fillId="3" borderId="2" xfId="0" applyNumberFormat="1" applyFont="1" applyFill="1" applyBorder="1"/>
    <xf numFmtId="165" fontId="2" fillId="2" borderId="0" xfId="0" applyNumberFormat="1" applyFont="1" applyFill="1" applyAlignment="1">
      <alignment horizontal="center"/>
    </xf>
    <xf numFmtId="165" fontId="0" fillId="0" borderId="0" xfId="0" applyNumberFormat="1"/>
    <xf numFmtId="165" fontId="3" fillId="3" borderId="1" xfId="0" applyNumberFormat="1" applyFont="1" applyFill="1" applyBorder="1"/>
    <xf numFmtId="165" fontId="3" fillId="3" borderId="0" xfId="0" applyNumberFormat="1" applyFont="1" applyFill="1"/>
    <xf numFmtId="165" fontId="3" fillId="3" borderId="2" xfId="0" applyNumberFormat="1" applyFont="1" applyFill="1" applyBorder="1"/>
    <xf numFmtId="166" fontId="2" fillId="2" borderId="0" xfId="0" applyNumberFormat="1" applyFont="1" applyFill="1" applyAlignment="1">
      <alignment horizontal="center"/>
    </xf>
    <xf numFmtId="166" fontId="0" fillId="0" borderId="0" xfId="0" applyNumberFormat="1"/>
    <xf numFmtId="166" fontId="3" fillId="3" borderId="1" xfId="0" applyNumberFormat="1" applyFont="1" applyFill="1" applyBorder="1"/>
    <xf numFmtId="166" fontId="3" fillId="3" borderId="0" xfId="0" applyNumberFormat="1" applyFont="1" applyFill="1"/>
    <xf numFmtId="167" fontId="2" fillId="2" borderId="0" xfId="0" applyNumberFormat="1" applyFont="1" applyFill="1" applyAlignment="1">
      <alignment horizontal="center"/>
    </xf>
    <xf numFmtId="167" fontId="0" fillId="0" borderId="0" xfId="0" applyNumberFormat="1"/>
    <xf numFmtId="167" fontId="3" fillId="3" borderId="1" xfId="0" applyNumberFormat="1" applyFont="1" applyFill="1" applyBorder="1"/>
    <xf numFmtId="167" fontId="3" fillId="3" borderId="0" xfId="0" applyNumberFormat="1" applyFont="1" applyFill="1"/>
    <xf numFmtId="167" fontId="3" fillId="3" borderId="2" xfId="0" applyNumberFormat="1" applyFont="1" applyFill="1" applyBorder="1"/>
    <xf numFmtId="40" fontId="2" fillId="2" borderId="0" xfId="0" applyNumberFormat="1" applyFont="1" applyFill="1" applyAlignment="1">
      <alignment horizontal="center"/>
    </xf>
    <xf numFmtId="40" fontId="0" fillId="0" borderId="0" xfId="0" applyNumberFormat="1"/>
    <xf numFmtId="40" fontId="3" fillId="3" borderId="1" xfId="0" applyNumberFormat="1" applyFont="1" applyFill="1" applyBorder="1"/>
    <xf numFmtId="40" fontId="3" fillId="3" borderId="0" xfId="0" applyNumberFormat="1" applyFont="1" applyFill="1"/>
    <xf numFmtId="40" fontId="3" fillId="3" borderId="2" xfId="0" applyNumberFormat="1" applyFont="1" applyFill="1" applyBorder="1"/>
    <xf numFmtId="8" fontId="2" fillId="2" borderId="0" xfId="0" applyNumberFormat="1" applyFont="1" applyFill="1" applyAlignment="1">
      <alignment horizontal="center"/>
    </xf>
    <xf numFmtId="8" fontId="0" fillId="0" borderId="0" xfId="0" applyNumberFormat="1"/>
    <xf numFmtId="8" fontId="3" fillId="3" borderId="1" xfId="0" applyNumberFormat="1" applyFont="1" applyFill="1" applyBorder="1"/>
    <xf numFmtId="8" fontId="3" fillId="3" borderId="0" xfId="0" applyNumberFormat="1" applyFont="1" applyFill="1"/>
    <xf numFmtId="8" fontId="3" fillId="3" borderId="2" xfId="0" applyNumberFormat="1" applyFont="1" applyFill="1" applyBorder="1"/>
    <xf numFmtId="168" fontId="3" fillId="3" borderId="2" xfId="0" applyNumberFormat="1" applyFont="1" applyFill="1" applyBorder="1"/>
  </cellXfs>
  <cellStyles count="1">
    <cellStyle name="Normal" xfId="0" builtinId="0"/>
  </cellStyles>
  <dxfs count="2">
    <dxf>
      <fill>
        <patternFill>
          <bgColor rgb="FFFFFFFF"/>
        </patternFill>
      </fill>
    </dxf>
    <dxf>
      <fill>
        <patternFill>
          <bgColor rgb="FFA7E4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3B69-5D11-414A-BC97-BF6676F2D57F}">
  <dimension ref="A1:BL174"/>
  <sheetViews>
    <sheetView tabSelected="1" topLeftCell="J60" workbookViewId="0">
      <selection activeCell="W89" sqref="W89"/>
    </sheetView>
  </sheetViews>
  <sheetFormatPr defaultRowHeight="15" x14ac:dyDescent="0.25"/>
  <cols>
    <col min="1" max="1" width="30.7109375" customWidth="1"/>
    <col min="2" max="2" width="67.7109375" customWidth="1"/>
    <col min="3" max="3" width="16.7109375" style="25" customWidth="1"/>
    <col min="4" max="4" width="17.7109375" style="15" customWidth="1"/>
    <col min="5" max="5" width="8.7109375" customWidth="1"/>
    <col min="6" max="6" width="49.7109375" customWidth="1"/>
    <col min="7" max="8" width="17.7109375" style="15" customWidth="1"/>
    <col min="9" max="9" width="18.7109375" style="20" customWidth="1"/>
    <col min="10" max="10" width="17.7109375" style="15" customWidth="1"/>
    <col min="11" max="11" width="18.7109375" style="15" customWidth="1"/>
    <col min="12" max="12" width="20.7109375" style="15" customWidth="1"/>
    <col min="13" max="13" width="17.7109375" style="30" customWidth="1"/>
    <col min="14" max="14" width="10.7109375" style="34" customWidth="1"/>
    <col min="15" max="15" width="14.7109375" style="39" customWidth="1"/>
    <col min="16" max="16" width="16.7109375" style="39" customWidth="1"/>
    <col min="17" max="17" width="15.7109375" style="15" customWidth="1"/>
    <col min="18" max="18" width="17.7109375" style="15" customWidth="1"/>
    <col min="19" max="19" width="17.7109375" style="44" customWidth="1"/>
    <col min="20" max="20" width="17.7109375" style="39" customWidth="1"/>
    <col min="21" max="21" width="20.7109375" style="5" customWidth="1"/>
    <col min="22" max="22" width="20.7109375" customWidth="1"/>
    <col min="23" max="23" width="40.7109375" customWidth="1"/>
    <col min="24" max="24" width="15.7109375" customWidth="1"/>
    <col min="25" max="27" width="20.7109375" customWidth="1"/>
    <col min="28" max="28" width="13.7109375" customWidth="1"/>
    <col min="29" max="36" width="20.7109375" customWidth="1"/>
    <col min="37" max="37" width="21.7109375" customWidth="1"/>
    <col min="38" max="42" width="20.7109375" customWidth="1"/>
    <col min="43" max="43" width="21.7109375" customWidth="1"/>
    <col min="44" max="44" width="20.7109375" customWidth="1"/>
  </cols>
  <sheetData>
    <row r="1" spans="1:64" x14ac:dyDescent="0.25">
      <c r="A1" s="2" t="s">
        <v>0</v>
      </c>
      <c r="B1" s="2" t="s">
        <v>1</v>
      </c>
      <c r="C1" s="24" t="s">
        <v>2</v>
      </c>
      <c r="D1" s="14" t="s">
        <v>3</v>
      </c>
      <c r="E1" s="2" t="s">
        <v>4</v>
      </c>
      <c r="F1" s="2" t="s">
        <v>5</v>
      </c>
      <c r="G1" s="14" t="s">
        <v>6</v>
      </c>
      <c r="H1" s="14" t="s">
        <v>7</v>
      </c>
      <c r="I1" s="19" t="s">
        <v>8</v>
      </c>
      <c r="J1" s="14" t="s">
        <v>9</v>
      </c>
      <c r="K1" s="14" t="s">
        <v>10</v>
      </c>
      <c r="L1" s="14" t="s">
        <v>11</v>
      </c>
      <c r="M1" s="29" t="s">
        <v>12</v>
      </c>
      <c r="N1" s="33" t="s">
        <v>13</v>
      </c>
      <c r="O1" s="38" t="s">
        <v>14</v>
      </c>
      <c r="P1" s="38" t="s">
        <v>15</v>
      </c>
      <c r="Q1" s="14" t="s">
        <v>16</v>
      </c>
      <c r="R1" s="14" t="s">
        <v>17</v>
      </c>
      <c r="S1" s="43" t="s">
        <v>18</v>
      </c>
      <c r="T1" s="38" t="s">
        <v>19</v>
      </c>
      <c r="U1" s="4"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3"/>
      <c r="AT1" s="3"/>
      <c r="AU1" s="3"/>
      <c r="AV1" s="3"/>
      <c r="AW1" s="3"/>
      <c r="AX1" s="3"/>
      <c r="AY1" s="3"/>
      <c r="AZ1" s="3"/>
      <c r="BA1" s="3"/>
      <c r="BB1" s="3"/>
      <c r="BC1" s="3"/>
      <c r="BD1" s="3"/>
      <c r="BE1" s="3"/>
      <c r="BF1" s="3"/>
      <c r="BG1" s="3"/>
      <c r="BH1" s="3"/>
      <c r="BI1" s="3"/>
      <c r="BJ1" s="3"/>
      <c r="BK1" s="3"/>
      <c r="BL1" s="3"/>
    </row>
    <row r="2" spans="1:64" x14ac:dyDescent="0.25">
      <c r="A2" t="s">
        <v>44</v>
      </c>
      <c r="B2" t="s">
        <v>45</v>
      </c>
      <c r="C2" s="25">
        <v>44713</v>
      </c>
      <c r="D2" s="15">
        <v>75000</v>
      </c>
      <c r="E2" t="s">
        <v>46</v>
      </c>
      <c r="F2" t="s">
        <v>47</v>
      </c>
      <c r="G2" s="15">
        <v>75000</v>
      </c>
      <c r="H2" s="15">
        <v>14800</v>
      </c>
      <c r="I2" s="20">
        <f>H2/G2*100</f>
        <v>19.733333333333334</v>
      </c>
      <c r="J2" s="15">
        <v>32116</v>
      </c>
      <c r="K2" s="15">
        <f>G2-26841</f>
        <v>48159</v>
      </c>
      <c r="L2" s="15">
        <v>5275</v>
      </c>
      <c r="M2" s="30">
        <v>120</v>
      </c>
      <c r="N2" s="34">
        <v>235.949997</v>
      </c>
      <c r="O2" s="39">
        <v>0.65</v>
      </c>
      <c r="P2" s="39">
        <v>0.65</v>
      </c>
      <c r="Q2" s="15">
        <f>K2/M2</f>
        <v>401.32499999999999</v>
      </c>
      <c r="R2" s="15">
        <f>K2/O2</f>
        <v>74090.769230769234</v>
      </c>
      <c r="S2" s="44">
        <f>K2/O2/43560</f>
        <v>1.7008900190718372</v>
      </c>
      <c r="T2" s="39">
        <v>120</v>
      </c>
      <c r="U2" s="6" t="s">
        <v>48</v>
      </c>
      <c r="V2" t="s">
        <v>49</v>
      </c>
      <c r="X2" t="s">
        <v>50</v>
      </c>
      <c r="Y2">
        <v>0</v>
      </c>
      <c r="Z2">
        <v>0</v>
      </c>
      <c r="AA2" t="s">
        <v>51</v>
      </c>
      <c r="AC2" s="7" t="s">
        <v>52</v>
      </c>
      <c r="AD2" t="s">
        <v>53</v>
      </c>
      <c r="AL2" s="3"/>
      <c r="BC2" s="3"/>
      <c r="BE2" s="3"/>
    </row>
    <row r="26" spans="31:31" x14ac:dyDescent="0.25">
      <c r="AE26" t="s">
        <v>58</v>
      </c>
    </row>
    <row r="85" spans="1:44" ht="15.75" thickBot="1" x14ac:dyDescent="0.3"/>
    <row r="86" spans="1:44" ht="15.75" thickTop="1" x14ac:dyDescent="0.25">
      <c r="A86" s="8"/>
      <c r="B86" s="8"/>
      <c r="C86" s="26" t="s">
        <v>305</v>
      </c>
      <c r="D86" s="16">
        <f>+SUM(D2:D85)</f>
        <v>75000</v>
      </c>
      <c r="E86" s="8"/>
      <c r="F86" s="8"/>
      <c r="G86" s="16">
        <f>+SUM(G2:G85)</f>
        <v>75000</v>
      </c>
      <c r="H86" s="16">
        <f>+SUM(H2:H85)</f>
        <v>14800</v>
      </c>
      <c r="I86" s="21"/>
      <c r="J86" s="16">
        <f>+SUM(J2:J85)</f>
        <v>32116</v>
      </c>
      <c r="K86" s="16">
        <f>+SUM(K2:K85)</f>
        <v>48159</v>
      </c>
      <c r="L86" s="16">
        <f>+SUM(L2:L85)</f>
        <v>5275</v>
      </c>
      <c r="M86" s="31">
        <f>+SUM(M2:M85)</f>
        <v>120</v>
      </c>
      <c r="N86" s="35"/>
      <c r="O86" s="40">
        <f>+SUM(O2:O85)</f>
        <v>0.65</v>
      </c>
      <c r="P86" s="40">
        <f>+SUM(P2:P85)</f>
        <v>0.65</v>
      </c>
      <c r="Q86" s="16"/>
      <c r="R86" s="16"/>
      <c r="S86" s="45"/>
      <c r="T86" s="40"/>
      <c r="U86" s="9"/>
      <c r="V86" s="8"/>
      <c r="W86" s="8"/>
      <c r="X86" s="8"/>
      <c r="Y86" s="8"/>
      <c r="Z86" s="8"/>
      <c r="AA86" s="8"/>
      <c r="AB86" s="8"/>
      <c r="AC86" s="8"/>
      <c r="AD86" s="8"/>
      <c r="AE86" s="8"/>
      <c r="AF86" s="8"/>
      <c r="AG86" s="8"/>
      <c r="AH86" s="8"/>
      <c r="AI86" s="8"/>
      <c r="AJ86" s="8"/>
      <c r="AK86" s="8"/>
      <c r="AL86" s="8"/>
      <c r="AM86" s="8"/>
      <c r="AN86" s="8"/>
      <c r="AO86" s="8"/>
      <c r="AP86" s="8"/>
      <c r="AQ86" s="8"/>
      <c r="AR86" s="8"/>
    </row>
    <row r="87" spans="1:44" x14ac:dyDescent="0.25">
      <c r="A87" s="10"/>
      <c r="B87" s="10"/>
      <c r="C87" s="27"/>
      <c r="D87" s="17"/>
      <c r="E87" s="10"/>
      <c r="F87" s="10"/>
      <c r="G87" s="17"/>
      <c r="H87" s="17" t="s">
        <v>306</v>
      </c>
      <c r="I87" s="22">
        <f>H86/G86*100</f>
        <v>19.733333333333334</v>
      </c>
      <c r="J87" s="17"/>
      <c r="K87" s="17"/>
      <c r="L87" s="17" t="s">
        <v>307</v>
      </c>
      <c r="M87" s="32"/>
      <c r="N87" s="36"/>
      <c r="O87" s="41" t="s">
        <v>307</v>
      </c>
      <c r="P87" s="41"/>
      <c r="Q87" s="17"/>
      <c r="R87" s="17" t="s">
        <v>307</v>
      </c>
      <c r="S87" s="46"/>
      <c r="T87" s="41"/>
      <c r="U87" s="11"/>
      <c r="V87" s="10"/>
      <c r="W87" s="10"/>
      <c r="X87" s="10"/>
      <c r="Y87" s="10"/>
      <c r="Z87" s="10"/>
      <c r="AA87" s="10"/>
      <c r="AB87" s="10"/>
      <c r="AC87" s="10"/>
      <c r="AD87" s="10"/>
      <c r="AE87" s="10"/>
      <c r="AF87" s="10"/>
      <c r="AG87" s="10"/>
      <c r="AH87" s="10"/>
      <c r="AI87" s="10"/>
      <c r="AJ87" s="10"/>
      <c r="AK87" s="10"/>
      <c r="AL87" s="10"/>
      <c r="AM87" s="10"/>
      <c r="AN87" s="10"/>
      <c r="AO87" s="10"/>
      <c r="AP87" s="10"/>
      <c r="AQ87" s="10"/>
      <c r="AR87" s="10"/>
    </row>
    <row r="88" spans="1:44" x14ac:dyDescent="0.25">
      <c r="A88" s="12"/>
      <c r="B88" s="12"/>
      <c r="C88" s="28"/>
      <c r="D88" s="18"/>
      <c r="E88" s="12"/>
      <c r="F88" s="12"/>
      <c r="G88" s="18"/>
      <c r="H88" s="18" t="s">
        <v>308</v>
      </c>
      <c r="I88" s="23" t="e">
        <f ca="1">STDEV(I2:I174)</f>
        <v>#DIV/0!</v>
      </c>
      <c r="J88" s="18"/>
      <c r="K88" s="18"/>
      <c r="L88" s="18" t="s">
        <v>309</v>
      </c>
      <c r="M88" s="48">
        <f>K86/M86</f>
        <v>401.32499999999999</v>
      </c>
      <c r="N88" s="37"/>
      <c r="O88" s="42" t="s">
        <v>310</v>
      </c>
      <c r="P88" s="42">
        <f>K86/O86</f>
        <v>74090.769230769234</v>
      </c>
      <c r="Q88" s="18"/>
      <c r="R88" s="18" t="s">
        <v>311</v>
      </c>
      <c r="S88" s="47">
        <f>K86/O86/43560</f>
        <v>1.7008900190718372</v>
      </c>
      <c r="T88" s="42"/>
      <c r="U88" s="13"/>
      <c r="V88" s="12"/>
      <c r="W88" s="12"/>
      <c r="X88" s="12"/>
      <c r="Y88" s="12"/>
      <c r="Z88" s="12"/>
      <c r="AA88" s="12"/>
      <c r="AB88" s="12"/>
      <c r="AC88" s="12"/>
      <c r="AD88" s="12"/>
      <c r="AE88" s="12"/>
      <c r="AF88" s="12"/>
      <c r="AG88" s="12"/>
      <c r="AH88" s="12"/>
      <c r="AI88" s="12"/>
      <c r="AJ88" s="12"/>
      <c r="AK88" s="12"/>
      <c r="AL88" s="12"/>
      <c r="AM88" s="12"/>
      <c r="AN88" s="12"/>
      <c r="AO88" s="12"/>
      <c r="AP88" s="12"/>
      <c r="AQ88" s="12"/>
      <c r="AR88" s="12"/>
    </row>
    <row r="89" spans="1:44" x14ac:dyDescent="0.25">
      <c r="A89" s="1" t="s">
        <v>312</v>
      </c>
    </row>
    <row r="92" spans="1:44" x14ac:dyDescent="0.25">
      <c r="A92" t="s">
        <v>54</v>
      </c>
      <c r="B92" t="s">
        <v>55</v>
      </c>
      <c r="C92" s="25">
        <v>45293</v>
      </c>
      <c r="D92" s="15">
        <v>205000</v>
      </c>
      <c r="E92" t="s">
        <v>46</v>
      </c>
      <c r="F92" t="s">
        <v>47</v>
      </c>
      <c r="G92" s="15">
        <v>205000</v>
      </c>
      <c r="H92" s="15">
        <v>72700</v>
      </c>
      <c r="I92" s="20">
        <f t="shared" ref="I92:I123" si="0">H92/G92*100</f>
        <v>35.463414634146339</v>
      </c>
      <c r="J92" s="15">
        <v>222186</v>
      </c>
      <c r="K92" s="15">
        <f>G92-208186</f>
        <v>-3186</v>
      </c>
      <c r="L92" s="15">
        <v>14000</v>
      </c>
      <c r="M92" s="30">
        <v>100</v>
      </c>
      <c r="N92" s="34">
        <v>200</v>
      </c>
      <c r="O92" s="39">
        <v>0.45900000000000002</v>
      </c>
      <c r="P92" s="39">
        <v>0.45900000000000002</v>
      </c>
      <c r="Q92" s="15">
        <f t="shared" ref="Q92:Q123" si="1">K92/M92</f>
        <v>-31.86</v>
      </c>
      <c r="R92" s="15">
        <f t="shared" ref="R92:R123" si="2">K92/O92</f>
        <v>-6941.1764705882351</v>
      </c>
      <c r="S92" s="44">
        <f t="shared" ref="S92:S123" si="3">K92/O92/43560</f>
        <v>-0.15934748555069411</v>
      </c>
      <c r="T92" s="39">
        <v>100</v>
      </c>
      <c r="U92" s="6" t="s">
        <v>56</v>
      </c>
      <c r="V92" t="s">
        <v>57</v>
      </c>
      <c r="X92" t="s">
        <v>50</v>
      </c>
      <c r="Y92">
        <v>1</v>
      </c>
      <c r="Z92">
        <v>0</v>
      </c>
      <c r="AA92" t="s">
        <v>51</v>
      </c>
      <c r="AC92" s="7" t="s">
        <v>52</v>
      </c>
      <c r="AD92" t="s">
        <v>58</v>
      </c>
    </row>
    <row r="93" spans="1:44" x14ac:dyDescent="0.25">
      <c r="A93" t="s">
        <v>59</v>
      </c>
      <c r="B93" t="s">
        <v>60</v>
      </c>
      <c r="C93" s="25">
        <v>45153</v>
      </c>
      <c r="D93" s="15">
        <v>50000</v>
      </c>
      <c r="E93" t="s">
        <v>46</v>
      </c>
      <c r="F93" t="s">
        <v>47</v>
      </c>
      <c r="G93" s="15">
        <v>50000</v>
      </c>
      <c r="H93" s="15">
        <v>18600</v>
      </c>
      <c r="I93" s="20">
        <f t="shared" si="0"/>
        <v>37.200000000000003</v>
      </c>
      <c r="J93" s="15">
        <v>38779</v>
      </c>
      <c r="K93" s="15">
        <f>G93-33279</f>
        <v>16721</v>
      </c>
      <c r="L93" s="15">
        <v>5500</v>
      </c>
      <c r="M93" s="30">
        <v>55</v>
      </c>
      <c r="N93" s="34">
        <v>610</v>
      </c>
      <c r="O93" s="39">
        <v>0.77</v>
      </c>
      <c r="P93" s="39">
        <v>0.77</v>
      </c>
      <c r="Q93" s="15">
        <f t="shared" si="1"/>
        <v>304.0181818181818</v>
      </c>
      <c r="R93" s="15">
        <f t="shared" si="2"/>
        <v>21715.584415584413</v>
      </c>
      <c r="S93" s="44">
        <f t="shared" si="3"/>
        <v>0.49852122166171747</v>
      </c>
      <c r="T93" s="39">
        <v>55</v>
      </c>
      <c r="U93" s="6" t="s">
        <v>61</v>
      </c>
      <c r="V93" t="s">
        <v>62</v>
      </c>
      <c r="X93" t="s">
        <v>50</v>
      </c>
      <c r="Y93">
        <v>0</v>
      </c>
      <c r="Z93">
        <v>1</v>
      </c>
      <c r="AA93" t="s">
        <v>51</v>
      </c>
      <c r="AC93" s="7" t="s">
        <v>52</v>
      </c>
      <c r="AD93" t="s">
        <v>58</v>
      </c>
    </row>
    <row r="94" spans="1:44" x14ac:dyDescent="0.25">
      <c r="A94" t="s">
        <v>63</v>
      </c>
      <c r="B94" t="s">
        <v>64</v>
      </c>
      <c r="C94" s="25">
        <v>44795</v>
      </c>
      <c r="D94" s="15">
        <v>59000</v>
      </c>
      <c r="E94" t="s">
        <v>46</v>
      </c>
      <c r="F94" t="s">
        <v>47</v>
      </c>
      <c r="G94" s="15">
        <v>59000</v>
      </c>
      <c r="H94" s="15">
        <v>29000</v>
      </c>
      <c r="I94" s="20">
        <f t="shared" si="0"/>
        <v>49.152542372881356</v>
      </c>
      <c r="J94" s="15">
        <v>61901</v>
      </c>
      <c r="K94" s="15">
        <f>G94-49901</f>
        <v>9099</v>
      </c>
      <c r="L94" s="15">
        <v>12000</v>
      </c>
      <c r="M94" s="30">
        <v>160</v>
      </c>
      <c r="N94" s="34">
        <v>136</v>
      </c>
      <c r="O94" s="39">
        <v>0.5</v>
      </c>
      <c r="P94" s="39">
        <v>0.5</v>
      </c>
      <c r="Q94" s="15">
        <f t="shared" si="1"/>
        <v>56.868749999999999</v>
      </c>
      <c r="R94" s="15">
        <f t="shared" si="2"/>
        <v>18198</v>
      </c>
      <c r="S94" s="44">
        <f t="shared" si="3"/>
        <v>0.4177685950413223</v>
      </c>
      <c r="T94" s="39">
        <v>160</v>
      </c>
      <c r="U94" s="6" t="s">
        <v>61</v>
      </c>
      <c r="V94" t="s">
        <v>65</v>
      </c>
      <c r="Y94">
        <v>0</v>
      </c>
      <c r="Z94">
        <v>1</v>
      </c>
      <c r="AA94" t="s">
        <v>51</v>
      </c>
      <c r="AC94" s="7" t="s">
        <v>52</v>
      </c>
      <c r="AD94" t="s">
        <v>66</v>
      </c>
    </row>
    <row r="95" spans="1:44" x14ac:dyDescent="0.25">
      <c r="A95" t="s">
        <v>63</v>
      </c>
      <c r="B95" t="s">
        <v>64</v>
      </c>
      <c r="C95" s="25">
        <v>45229</v>
      </c>
      <c r="D95" s="15">
        <v>95000</v>
      </c>
      <c r="E95" t="s">
        <v>46</v>
      </c>
      <c r="F95" t="s">
        <v>47</v>
      </c>
      <c r="G95" s="15">
        <v>95000</v>
      </c>
      <c r="H95" s="15">
        <v>33900</v>
      </c>
      <c r="I95" s="20">
        <f t="shared" si="0"/>
        <v>35.684210526315788</v>
      </c>
      <c r="J95" s="15">
        <v>70658</v>
      </c>
      <c r="K95" s="15">
        <f>G95-58658</f>
        <v>36342</v>
      </c>
      <c r="L95" s="15">
        <v>12000</v>
      </c>
      <c r="M95" s="30">
        <v>160</v>
      </c>
      <c r="N95" s="34">
        <v>136</v>
      </c>
      <c r="O95" s="39">
        <v>0.5</v>
      </c>
      <c r="P95" s="39">
        <v>0.5</v>
      </c>
      <c r="Q95" s="15">
        <f t="shared" si="1"/>
        <v>227.13749999999999</v>
      </c>
      <c r="R95" s="15">
        <f t="shared" si="2"/>
        <v>72684</v>
      </c>
      <c r="S95" s="44">
        <f t="shared" si="3"/>
        <v>1.6685950413223141</v>
      </c>
      <c r="T95" s="39">
        <v>160</v>
      </c>
      <c r="U95" s="6" t="s">
        <v>61</v>
      </c>
      <c r="V95" t="s">
        <v>67</v>
      </c>
      <c r="Y95">
        <v>0</v>
      </c>
      <c r="Z95">
        <v>1</v>
      </c>
      <c r="AA95" t="s">
        <v>51</v>
      </c>
      <c r="AC95" s="7" t="s">
        <v>52</v>
      </c>
      <c r="AD95" t="s">
        <v>66</v>
      </c>
    </row>
    <row r="96" spans="1:44" x14ac:dyDescent="0.25">
      <c r="A96" t="s">
        <v>68</v>
      </c>
      <c r="B96" t="s">
        <v>69</v>
      </c>
      <c r="C96" s="25">
        <v>44874</v>
      </c>
      <c r="D96" s="15">
        <v>63900</v>
      </c>
      <c r="E96" t="s">
        <v>46</v>
      </c>
      <c r="F96" t="s">
        <v>47</v>
      </c>
      <c r="G96" s="15">
        <v>63900</v>
      </c>
      <c r="H96" s="15">
        <v>26300</v>
      </c>
      <c r="I96" s="20">
        <f t="shared" si="0"/>
        <v>41.158059467918626</v>
      </c>
      <c r="J96" s="15">
        <v>62829</v>
      </c>
      <c r="K96" s="15">
        <f>G96-57579</f>
        <v>6321</v>
      </c>
      <c r="L96" s="15">
        <v>5250</v>
      </c>
      <c r="M96" s="30">
        <v>70</v>
      </c>
      <c r="N96" s="34">
        <v>130</v>
      </c>
      <c r="O96" s="39">
        <v>0.20899999999999999</v>
      </c>
      <c r="P96" s="39">
        <v>0.20899999999999999</v>
      </c>
      <c r="Q96" s="15">
        <f t="shared" si="1"/>
        <v>90.3</v>
      </c>
      <c r="R96" s="15">
        <f t="shared" si="2"/>
        <v>30244.019138755983</v>
      </c>
      <c r="S96" s="44">
        <f t="shared" si="3"/>
        <v>0.69430714276299321</v>
      </c>
      <c r="T96" s="39">
        <v>70</v>
      </c>
      <c r="U96" s="6" t="s">
        <v>61</v>
      </c>
      <c r="V96" t="s">
        <v>70</v>
      </c>
      <c r="Y96">
        <v>0</v>
      </c>
      <c r="Z96">
        <v>1</v>
      </c>
      <c r="AA96" t="s">
        <v>51</v>
      </c>
      <c r="AC96" s="7" t="s">
        <v>52</v>
      </c>
      <c r="AD96" t="s">
        <v>66</v>
      </c>
    </row>
    <row r="97" spans="1:30" x14ac:dyDescent="0.25">
      <c r="A97" t="s">
        <v>71</v>
      </c>
      <c r="B97" t="s">
        <v>72</v>
      </c>
      <c r="C97" s="25">
        <v>44875</v>
      </c>
      <c r="D97" s="15">
        <v>75000</v>
      </c>
      <c r="E97" t="s">
        <v>46</v>
      </c>
      <c r="F97" t="s">
        <v>47</v>
      </c>
      <c r="G97" s="15">
        <v>75000</v>
      </c>
      <c r="H97" s="15">
        <v>32800</v>
      </c>
      <c r="I97" s="20">
        <f t="shared" si="0"/>
        <v>43.733333333333334</v>
      </c>
      <c r="J97" s="15">
        <v>78057</v>
      </c>
      <c r="K97" s="15">
        <f>G97-69057</f>
        <v>5943</v>
      </c>
      <c r="L97" s="15">
        <v>9000</v>
      </c>
      <c r="M97" s="30">
        <v>120</v>
      </c>
      <c r="N97" s="34">
        <v>136</v>
      </c>
      <c r="O97" s="39">
        <v>0.375</v>
      </c>
      <c r="P97" s="39">
        <v>0.375</v>
      </c>
      <c r="Q97" s="15">
        <f t="shared" si="1"/>
        <v>49.524999999999999</v>
      </c>
      <c r="R97" s="15">
        <f t="shared" si="2"/>
        <v>15848</v>
      </c>
      <c r="S97" s="44">
        <f t="shared" si="3"/>
        <v>0.3638200183654729</v>
      </c>
      <c r="T97" s="39">
        <v>120</v>
      </c>
      <c r="U97" s="6" t="s">
        <v>61</v>
      </c>
      <c r="V97" t="s">
        <v>73</v>
      </c>
      <c r="Y97">
        <v>0</v>
      </c>
      <c r="Z97">
        <v>1</v>
      </c>
      <c r="AA97" t="s">
        <v>51</v>
      </c>
      <c r="AC97" s="7" t="s">
        <v>52</v>
      </c>
      <c r="AD97" t="s">
        <v>66</v>
      </c>
    </row>
    <row r="98" spans="1:30" x14ac:dyDescent="0.25">
      <c r="A98" t="s">
        <v>74</v>
      </c>
      <c r="B98" t="s">
        <v>75</v>
      </c>
      <c r="C98" s="25">
        <v>45141</v>
      </c>
      <c r="D98" s="15">
        <v>15000</v>
      </c>
      <c r="E98" t="s">
        <v>46</v>
      </c>
      <c r="F98" t="s">
        <v>47</v>
      </c>
      <c r="G98" s="15">
        <v>15000</v>
      </c>
      <c r="H98" s="15">
        <v>0</v>
      </c>
      <c r="I98" s="20">
        <f t="shared" si="0"/>
        <v>0</v>
      </c>
      <c r="J98" s="15">
        <v>45464</v>
      </c>
      <c r="K98" s="15">
        <f>G98-40964</f>
        <v>-25964</v>
      </c>
      <c r="L98" s="15">
        <v>4500</v>
      </c>
      <c r="M98" s="30">
        <v>60</v>
      </c>
      <c r="N98" s="34">
        <v>136</v>
      </c>
      <c r="O98" s="39">
        <v>0.187</v>
      </c>
      <c r="P98" s="39">
        <v>0.187</v>
      </c>
      <c r="Q98" s="15">
        <f t="shared" si="1"/>
        <v>-432.73333333333335</v>
      </c>
      <c r="R98" s="15">
        <f t="shared" si="2"/>
        <v>-138844.91978609626</v>
      </c>
      <c r="S98" s="44">
        <f t="shared" si="3"/>
        <v>-3.1874407664393081</v>
      </c>
      <c r="T98" s="39">
        <v>60</v>
      </c>
      <c r="U98" s="6" t="s">
        <v>61</v>
      </c>
      <c r="V98" t="s">
        <v>76</v>
      </c>
      <c r="Y98">
        <v>0</v>
      </c>
      <c r="Z98">
        <v>1</v>
      </c>
      <c r="AA98" t="s">
        <v>51</v>
      </c>
      <c r="AC98" s="7" t="s">
        <v>77</v>
      </c>
      <c r="AD98" t="s">
        <v>66</v>
      </c>
    </row>
    <row r="99" spans="1:30" x14ac:dyDescent="0.25">
      <c r="A99" t="s">
        <v>78</v>
      </c>
      <c r="B99" t="s">
        <v>79</v>
      </c>
      <c r="C99" s="25">
        <v>45282</v>
      </c>
      <c r="D99" s="15">
        <v>85000</v>
      </c>
      <c r="E99" t="s">
        <v>80</v>
      </c>
      <c r="F99" t="s">
        <v>47</v>
      </c>
      <c r="G99" s="15">
        <v>85000</v>
      </c>
      <c r="H99" s="15">
        <v>32300</v>
      </c>
      <c r="I99" s="20">
        <f t="shared" si="0"/>
        <v>38</v>
      </c>
      <c r="J99" s="15">
        <v>84153</v>
      </c>
      <c r="K99" s="15">
        <f>G99-69405</f>
        <v>15595</v>
      </c>
      <c r="L99" s="15">
        <v>14748</v>
      </c>
      <c r="M99" s="30">
        <v>147.47999999999999</v>
      </c>
      <c r="N99" s="34">
        <v>120</v>
      </c>
      <c r="O99" s="39">
        <v>0.40600000000000003</v>
      </c>
      <c r="P99" s="39">
        <v>0.40600000000000003</v>
      </c>
      <c r="Q99" s="15">
        <f t="shared" si="1"/>
        <v>105.74315161377815</v>
      </c>
      <c r="R99" s="15">
        <f t="shared" si="2"/>
        <v>38411.33004926108</v>
      </c>
      <c r="S99" s="44">
        <f t="shared" si="3"/>
        <v>0.88180280186549764</v>
      </c>
      <c r="T99" s="39">
        <v>147.47999999999999</v>
      </c>
      <c r="U99" s="6" t="s">
        <v>61</v>
      </c>
      <c r="Y99">
        <v>0</v>
      </c>
      <c r="Z99">
        <v>1</v>
      </c>
      <c r="AA99" t="s">
        <v>51</v>
      </c>
      <c r="AC99" s="7" t="s">
        <v>52</v>
      </c>
      <c r="AD99" t="s">
        <v>66</v>
      </c>
    </row>
    <row r="100" spans="1:30" x14ac:dyDescent="0.25">
      <c r="A100" t="s">
        <v>81</v>
      </c>
      <c r="B100" t="s">
        <v>82</v>
      </c>
      <c r="C100" s="25">
        <v>44690</v>
      </c>
      <c r="D100" s="15">
        <v>22000</v>
      </c>
      <c r="E100" t="s">
        <v>46</v>
      </c>
      <c r="F100" t="s">
        <v>47</v>
      </c>
      <c r="G100" s="15">
        <v>22000</v>
      </c>
      <c r="H100" s="15">
        <v>10700</v>
      </c>
      <c r="I100" s="20">
        <f t="shared" si="0"/>
        <v>48.63636363636364</v>
      </c>
      <c r="J100" s="15">
        <v>22546</v>
      </c>
      <c r="K100" s="15">
        <f>G100-15046</f>
        <v>6954</v>
      </c>
      <c r="L100" s="15">
        <v>7500</v>
      </c>
      <c r="M100" s="30">
        <v>100</v>
      </c>
      <c r="N100" s="34">
        <v>139.60000600000001</v>
      </c>
      <c r="O100" s="39">
        <v>0.32</v>
      </c>
      <c r="P100" s="39">
        <v>0.32</v>
      </c>
      <c r="Q100" s="15">
        <f t="shared" si="1"/>
        <v>69.540000000000006</v>
      </c>
      <c r="R100" s="15">
        <f t="shared" si="2"/>
        <v>21731.25</v>
      </c>
      <c r="S100" s="44">
        <f t="shared" si="3"/>
        <v>0.49888085399449034</v>
      </c>
      <c r="T100" s="39">
        <v>100</v>
      </c>
      <c r="U100" s="6" t="s">
        <v>61</v>
      </c>
      <c r="V100" t="s">
        <v>83</v>
      </c>
      <c r="Y100">
        <v>0</v>
      </c>
      <c r="Z100">
        <v>1</v>
      </c>
      <c r="AA100" t="s">
        <v>51</v>
      </c>
      <c r="AC100" s="7" t="s">
        <v>52</v>
      </c>
      <c r="AD100" t="s">
        <v>66</v>
      </c>
    </row>
    <row r="101" spans="1:30" x14ac:dyDescent="0.25">
      <c r="A101" t="s">
        <v>84</v>
      </c>
      <c r="B101" t="s">
        <v>85</v>
      </c>
      <c r="C101" s="25">
        <v>45083</v>
      </c>
      <c r="D101" s="15">
        <v>80000</v>
      </c>
      <c r="E101" t="s">
        <v>86</v>
      </c>
      <c r="F101" t="s">
        <v>47</v>
      </c>
      <c r="G101" s="15">
        <v>80000</v>
      </c>
      <c r="H101" s="15">
        <v>34300</v>
      </c>
      <c r="I101" s="20">
        <f t="shared" si="0"/>
        <v>42.875</v>
      </c>
      <c r="J101" s="15">
        <v>71530</v>
      </c>
      <c r="K101" s="15">
        <f>G101-61530</f>
        <v>18470</v>
      </c>
      <c r="L101" s="15">
        <v>10000</v>
      </c>
      <c r="M101" s="30">
        <v>100</v>
      </c>
      <c r="N101" s="34">
        <v>144.5</v>
      </c>
      <c r="O101" s="39">
        <v>0.33200000000000002</v>
      </c>
      <c r="P101" s="39">
        <v>0.33200000000000002</v>
      </c>
      <c r="Q101" s="15">
        <f t="shared" si="1"/>
        <v>184.7</v>
      </c>
      <c r="R101" s="15">
        <f t="shared" si="2"/>
        <v>55632.530120481926</v>
      </c>
      <c r="S101" s="44">
        <f t="shared" si="3"/>
        <v>1.2771471561175833</v>
      </c>
      <c r="T101" s="39">
        <v>100</v>
      </c>
      <c r="U101" s="6" t="s">
        <v>61</v>
      </c>
      <c r="V101" t="s">
        <v>87</v>
      </c>
      <c r="Y101">
        <v>0</v>
      </c>
      <c r="Z101">
        <v>1</v>
      </c>
      <c r="AA101" t="s">
        <v>51</v>
      </c>
      <c r="AC101" s="7" t="s">
        <v>52</v>
      </c>
      <c r="AD101" t="s">
        <v>58</v>
      </c>
    </row>
    <row r="102" spans="1:30" x14ac:dyDescent="0.25">
      <c r="A102" t="s">
        <v>88</v>
      </c>
      <c r="B102" t="s">
        <v>89</v>
      </c>
      <c r="C102" s="25">
        <v>44865</v>
      </c>
      <c r="D102" s="15">
        <v>64000</v>
      </c>
      <c r="E102" t="s">
        <v>46</v>
      </c>
      <c r="F102" t="s">
        <v>47</v>
      </c>
      <c r="G102" s="15">
        <v>64000</v>
      </c>
      <c r="H102" s="15">
        <v>30000</v>
      </c>
      <c r="I102" s="20">
        <f t="shared" si="0"/>
        <v>46.875</v>
      </c>
      <c r="J102" s="15">
        <v>65190</v>
      </c>
      <c r="K102" s="15">
        <f>G102-60690</f>
        <v>3310</v>
      </c>
      <c r="L102" s="15">
        <v>4500</v>
      </c>
      <c r="M102" s="30">
        <v>60</v>
      </c>
      <c r="N102" s="34">
        <v>138</v>
      </c>
      <c r="O102" s="39">
        <v>0.19</v>
      </c>
      <c r="P102" s="39">
        <v>0.19</v>
      </c>
      <c r="Q102" s="15">
        <f t="shared" si="1"/>
        <v>55.166666666666664</v>
      </c>
      <c r="R102" s="15">
        <f t="shared" si="2"/>
        <v>17421.052631578947</v>
      </c>
      <c r="S102" s="44">
        <f t="shared" si="3"/>
        <v>0.39993233773138076</v>
      </c>
      <c r="T102" s="39">
        <v>60</v>
      </c>
      <c r="U102" s="6" t="s">
        <v>48</v>
      </c>
      <c r="V102" t="s">
        <v>90</v>
      </c>
      <c r="Y102">
        <v>0</v>
      </c>
      <c r="Z102">
        <v>0</v>
      </c>
      <c r="AA102" t="s">
        <v>51</v>
      </c>
      <c r="AC102" s="7" t="s">
        <v>52</v>
      </c>
      <c r="AD102" t="s">
        <v>66</v>
      </c>
    </row>
    <row r="103" spans="1:30" x14ac:dyDescent="0.25">
      <c r="A103" t="s">
        <v>91</v>
      </c>
      <c r="B103" t="s">
        <v>92</v>
      </c>
      <c r="C103" s="25">
        <v>45371</v>
      </c>
      <c r="D103" s="15">
        <v>69000</v>
      </c>
      <c r="E103" t="s">
        <v>46</v>
      </c>
      <c r="F103" t="s">
        <v>47</v>
      </c>
      <c r="G103" s="15">
        <v>69000</v>
      </c>
      <c r="H103" s="15">
        <v>33000</v>
      </c>
      <c r="I103" s="20">
        <f t="shared" si="0"/>
        <v>47.826086956521742</v>
      </c>
      <c r="J103" s="15">
        <v>86013</v>
      </c>
      <c r="K103" s="15">
        <f>G103-80413</f>
        <v>-11413</v>
      </c>
      <c r="L103" s="15">
        <v>5600</v>
      </c>
      <c r="M103" s="30">
        <v>40</v>
      </c>
      <c r="N103" s="34">
        <v>130</v>
      </c>
      <c r="O103" s="39">
        <v>0.11899999999999999</v>
      </c>
      <c r="P103" s="39">
        <v>0.11899999999999999</v>
      </c>
      <c r="Q103" s="15">
        <f t="shared" si="1"/>
        <v>-285.32499999999999</v>
      </c>
      <c r="R103" s="15">
        <f t="shared" si="2"/>
        <v>-95907.563025210082</v>
      </c>
      <c r="S103" s="44">
        <f t="shared" si="3"/>
        <v>-2.2017346883657045</v>
      </c>
      <c r="T103" s="39">
        <v>40</v>
      </c>
      <c r="U103" s="6" t="s">
        <v>61</v>
      </c>
      <c r="V103" t="s">
        <v>93</v>
      </c>
      <c r="Y103">
        <v>0</v>
      </c>
      <c r="Z103">
        <v>1</v>
      </c>
      <c r="AA103" t="s">
        <v>51</v>
      </c>
      <c r="AC103" s="7" t="s">
        <v>52</v>
      </c>
      <c r="AD103" t="s">
        <v>58</v>
      </c>
    </row>
    <row r="104" spans="1:30" x14ac:dyDescent="0.25">
      <c r="A104" t="s">
        <v>94</v>
      </c>
      <c r="B104" t="s">
        <v>95</v>
      </c>
      <c r="C104" s="25">
        <v>44701</v>
      </c>
      <c r="D104" s="15">
        <v>12500</v>
      </c>
      <c r="E104" t="s">
        <v>80</v>
      </c>
      <c r="F104" t="s">
        <v>47</v>
      </c>
      <c r="G104" s="15">
        <v>12500</v>
      </c>
      <c r="H104" s="15">
        <v>19500</v>
      </c>
      <c r="I104" s="20">
        <f t="shared" si="0"/>
        <v>156</v>
      </c>
      <c r="J104" s="15">
        <v>42690</v>
      </c>
      <c r="K104" s="15">
        <f>G104-38690</f>
        <v>-26190</v>
      </c>
      <c r="L104" s="15">
        <v>4000</v>
      </c>
      <c r="M104" s="30">
        <v>40</v>
      </c>
      <c r="N104" s="34">
        <v>138</v>
      </c>
      <c r="O104" s="39">
        <v>0.127</v>
      </c>
      <c r="P104" s="39">
        <v>0.127</v>
      </c>
      <c r="Q104" s="15">
        <f t="shared" si="1"/>
        <v>-654.75</v>
      </c>
      <c r="R104" s="15">
        <f t="shared" si="2"/>
        <v>-206220.47244094487</v>
      </c>
      <c r="S104" s="44">
        <f t="shared" si="3"/>
        <v>-4.734170625366044</v>
      </c>
      <c r="T104" s="39">
        <v>40</v>
      </c>
      <c r="U104" s="6" t="s">
        <v>61</v>
      </c>
      <c r="Y104">
        <v>0</v>
      </c>
      <c r="Z104">
        <v>1</v>
      </c>
      <c r="AA104" t="s">
        <v>51</v>
      </c>
      <c r="AC104" s="7" t="s">
        <v>52</v>
      </c>
      <c r="AD104" t="s">
        <v>58</v>
      </c>
    </row>
    <row r="105" spans="1:30" x14ac:dyDescent="0.25">
      <c r="A105" t="s">
        <v>96</v>
      </c>
      <c r="B105" t="s">
        <v>97</v>
      </c>
      <c r="C105" s="25">
        <v>45237</v>
      </c>
      <c r="D105" s="15">
        <v>59000</v>
      </c>
      <c r="E105" t="s">
        <v>46</v>
      </c>
      <c r="F105" t="s">
        <v>47</v>
      </c>
      <c r="G105" s="15">
        <v>59000</v>
      </c>
      <c r="H105" s="15">
        <v>24000</v>
      </c>
      <c r="I105" s="20">
        <f t="shared" si="0"/>
        <v>40.677966101694921</v>
      </c>
      <c r="J105" s="15">
        <v>50270</v>
      </c>
      <c r="K105" s="15">
        <f>G105-46270</f>
        <v>12730</v>
      </c>
      <c r="L105" s="15">
        <v>4000</v>
      </c>
      <c r="M105" s="30">
        <v>40</v>
      </c>
      <c r="N105" s="34">
        <v>138</v>
      </c>
      <c r="O105" s="39">
        <v>0.127</v>
      </c>
      <c r="P105" s="39">
        <v>0.127</v>
      </c>
      <c r="Q105" s="15">
        <f t="shared" si="1"/>
        <v>318.25</v>
      </c>
      <c r="R105" s="15">
        <f t="shared" si="2"/>
        <v>100236.22047244094</v>
      </c>
      <c r="S105" s="44">
        <f t="shared" si="3"/>
        <v>2.3011069897254579</v>
      </c>
      <c r="T105" s="39">
        <v>40</v>
      </c>
      <c r="U105" s="6" t="s">
        <v>61</v>
      </c>
      <c r="V105" t="s">
        <v>98</v>
      </c>
      <c r="Y105">
        <v>0</v>
      </c>
      <c r="Z105">
        <v>1</v>
      </c>
      <c r="AA105" t="s">
        <v>51</v>
      </c>
      <c r="AC105" s="7" t="s">
        <v>52</v>
      </c>
      <c r="AD105" t="s">
        <v>58</v>
      </c>
    </row>
    <row r="106" spans="1:30" x14ac:dyDescent="0.25">
      <c r="A106" t="s">
        <v>99</v>
      </c>
      <c r="B106" t="s">
        <v>100</v>
      </c>
      <c r="C106" s="25">
        <v>44750</v>
      </c>
      <c r="D106" s="15">
        <v>110000</v>
      </c>
      <c r="E106" t="s">
        <v>46</v>
      </c>
      <c r="F106" t="s">
        <v>47</v>
      </c>
      <c r="G106" s="15">
        <v>110000</v>
      </c>
      <c r="H106" s="15">
        <v>31500</v>
      </c>
      <c r="I106" s="20">
        <f t="shared" si="0"/>
        <v>28.636363636363637</v>
      </c>
      <c r="J106" s="15">
        <v>68635</v>
      </c>
      <c r="K106" s="15">
        <f>G106-62635</f>
        <v>47365</v>
      </c>
      <c r="L106" s="15">
        <v>6000</v>
      </c>
      <c r="M106" s="30">
        <v>80</v>
      </c>
      <c r="N106" s="34">
        <v>138</v>
      </c>
      <c r="O106" s="39">
        <v>0.253</v>
      </c>
      <c r="P106" s="39">
        <v>0.253</v>
      </c>
      <c r="Q106" s="15">
        <f t="shared" si="1"/>
        <v>592.0625</v>
      </c>
      <c r="R106" s="15">
        <f t="shared" si="2"/>
        <v>187213.43873517786</v>
      </c>
      <c r="S106" s="44">
        <f t="shared" si="3"/>
        <v>4.2978291720656072</v>
      </c>
      <c r="T106" s="39">
        <v>80</v>
      </c>
      <c r="U106" s="6" t="s">
        <v>61</v>
      </c>
      <c r="V106" t="s">
        <v>101</v>
      </c>
      <c r="Y106">
        <v>0</v>
      </c>
      <c r="Z106">
        <v>1</v>
      </c>
      <c r="AA106" t="s">
        <v>51</v>
      </c>
      <c r="AC106" s="7" t="s">
        <v>52</v>
      </c>
      <c r="AD106" t="s">
        <v>66</v>
      </c>
    </row>
    <row r="107" spans="1:30" x14ac:dyDescent="0.25">
      <c r="A107" t="s">
        <v>102</v>
      </c>
      <c r="B107" t="s">
        <v>103</v>
      </c>
      <c r="C107" s="25">
        <v>45126</v>
      </c>
      <c r="D107" s="15">
        <v>16250</v>
      </c>
      <c r="E107" t="s">
        <v>46</v>
      </c>
      <c r="F107" t="s">
        <v>47</v>
      </c>
      <c r="G107" s="15">
        <v>16250</v>
      </c>
      <c r="H107" s="15">
        <v>18900</v>
      </c>
      <c r="I107" s="20">
        <f t="shared" si="0"/>
        <v>116.30769230769231</v>
      </c>
      <c r="J107" s="15">
        <v>40054</v>
      </c>
      <c r="K107" s="15">
        <f>G107-37054</f>
        <v>-20804</v>
      </c>
      <c r="L107" s="15">
        <v>3000</v>
      </c>
      <c r="M107" s="30">
        <v>40</v>
      </c>
      <c r="N107" s="34">
        <v>138</v>
      </c>
      <c r="O107" s="39">
        <v>0.127</v>
      </c>
      <c r="P107" s="39">
        <v>0.127</v>
      </c>
      <c r="Q107" s="15">
        <f t="shared" si="1"/>
        <v>-520.1</v>
      </c>
      <c r="R107" s="15">
        <f t="shared" si="2"/>
        <v>-163811.02362204724</v>
      </c>
      <c r="S107" s="44">
        <f t="shared" si="3"/>
        <v>-3.7605836460525079</v>
      </c>
      <c r="T107" s="39">
        <v>40</v>
      </c>
      <c r="U107" s="6" t="s">
        <v>61</v>
      </c>
      <c r="V107" t="s">
        <v>104</v>
      </c>
      <c r="Y107">
        <v>0</v>
      </c>
      <c r="Z107">
        <v>1</v>
      </c>
      <c r="AA107" t="s">
        <v>51</v>
      </c>
      <c r="AC107" s="7" t="s">
        <v>52</v>
      </c>
      <c r="AD107" t="s">
        <v>66</v>
      </c>
    </row>
    <row r="108" spans="1:30" x14ac:dyDescent="0.25">
      <c r="A108" t="s">
        <v>105</v>
      </c>
      <c r="B108" t="s">
        <v>106</v>
      </c>
      <c r="C108" s="25">
        <v>44995</v>
      </c>
      <c r="D108" s="15">
        <v>3000</v>
      </c>
      <c r="E108" t="s">
        <v>46</v>
      </c>
      <c r="F108" t="s">
        <v>47</v>
      </c>
      <c r="G108" s="15">
        <v>3000</v>
      </c>
      <c r="H108" s="15">
        <v>11700</v>
      </c>
      <c r="I108" s="20">
        <f t="shared" si="0"/>
        <v>390</v>
      </c>
      <c r="J108" s="15">
        <v>30012</v>
      </c>
      <c r="K108" s="15">
        <f>G108-27012</f>
        <v>-24012</v>
      </c>
      <c r="L108" s="15">
        <v>3000</v>
      </c>
      <c r="M108" s="30">
        <v>40</v>
      </c>
      <c r="N108" s="34">
        <v>138</v>
      </c>
      <c r="O108" s="39">
        <v>0.127</v>
      </c>
      <c r="P108" s="39">
        <v>0.127</v>
      </c>
      <c r="Q108" s="15">
        <f t="shared" si="1"/>
        <v>-600.29999999999995</v>
      </c>
      <c r="R108" s="15">
        <f t="shared" si="2"/>
        <v>-189070.86614173229</v>
      </c>
      <c r="S108" s="44">
        <f t="shared" si="3"/>
        <v>-4.3404698379644691</v>
      </c>
      <c r="T108" s="39">
        <v>40</v>
      </c>
      <c r="U108" s="6" t="s">
        <v>61</v>
      </c>
      <c r="V108" t="s">
        <v>107</v>
      </c>
      <c r="Y108">
        <v>1</v>
      </c>
      <c r="Z108">
        <v>0</v>
      </c>
      <c r="AA108" t="s">
        <v>51</v>
      </c>
      <c r="AC108" s="7" t="s">
        <v>52</v>
      </c>
      <c r="AD108" t="s">
        <v>66</v>
      </c>
    </row>
    <row r="109" spans="1:30" x14ac:dyDescent="0.25">
      <c r="A109" t="s">
        <v>105</v>
      </c>
      <c r="B109" t="s">
        <v>106</v>
      </c>
      <c r="C109" s="25">
        <v>45303</v>
      </c>
      <c r="D109" s="15">
        <v>11000</v>
      </c>
      <c r="E109" t="s">
        <v>86</v>
      </c>
      <c r="F109" t="s">
        <v>47</v>
      </c>
      <c r="G109" s="15">
        <v>11000</v>
      </c>
      <c r="H109" s="15">
        <v>14100</v>
      </c>
      <c r="I109" s="20">
        <f t="shared" si="0"/>
        <v>128.18181818181819</v>
      </c>
      <c r="J109" s="15">
        <v>37242</v>
      </c>
      <c r="K109" s="15">
        <f>G109-33242</f>
        <v>-22242</v>
      </c>
      <c r="L109" s="15">
        <v>4000</v>
      </c>
      <c r="M109" s="30">
        <v>40</v>
      </c>
      <c r="N109" s="34">
        <v>138</v>
      </c>
      <c r="O109" s="39">
        <v>0.127</v>
      </c>
      <c r="P109" s="39">
        <v>0.127</v>
      </c>
      <c r="Q109" s="15">
        <f t="shared" si="1"/>
        <v>-556.04999999999995</v>
      </c>
      <c r="R109" s="15">
        <f t="shared" si="2"/>
        <v>-175133.85826771654</v>
      </c>
      <c r="S109" s="44">
        <f t="shared" si="3"/>
        <v>-4.0205201622524456</v>
      </c>
      <c r="T109" s="39">
        <v>40</v>
      </c>
      <c r="U109" s="6" t="s">
        <v>61</v>
      </c>
      <c r="V109" t="s">
        <v>108</v>
      </c>
      <c r="Y109">
        <v>1</v>
      </c>
      <c r="Z109">
        <v>0</v>
      </c>
      <c r="AA109" t="s">
        <v>51</v>
      </c>
      <c r="AC109" s="7" t="s">
        <v>52</v>
      </c>
      <c r="AD109" t="s">
        <v>66</v>
      </c>
    </row>
    <row r="110" spans="1:30" x14ac:dyDescent="0.25">
      <c r="A110" t="s">
        <v>109</v>
      </c>
      <c r="B110" t="s">
        <v>110</v>
      </c>
      <c r="C110" s="25">
        <v>45324</v>
      </c>
      <c r="D110" s="15">
        <v>9000</v>
      </c>
      <c r="E110" t="s">
        <v>86</v>
      </c>
      <c r="F110" t="s">
        <v>47</v>
      </c>
      <c r="G110" s="15">
        <v>9000</v>
      </c>
      <c r="H110" s="15">
        <v>10400</v>
      </c>
      <c r="I110" s="20">
        <f t="shared" si="0"/>
        <v>115.55555555555554</v>
      </c>
      <c r="J110" s="15">
        <v>23563</v>
      </c>
      <c r="K110" s="15">
        <f>G110-19563</f>
        <v>-10563</v>
      </c>
      <c r="L110" s="15">
        <v>4000</v>
      </c>
      <c r="M110" s="30">
        <v>40</v>
      </c>
      <c r="N110" s="34">
        <v>138</v>
      </c>
      <c r="O110" s="39">
        <v>0.127</v>
      </c>
      <c r="P110" s="39">
        <v>0.127</v>
      </c>
      <c r="Q110" s="15">
        <f t="shared" si="1"/>
        <v>-264.07499999999999</v>
      </c>
      <c r="R110" s="15">
        <f t="shared" si="2"/>
        <v>-83173.228346456686</v>
      </c>
      <c r="S110" s="44">
        <f t="shared" si="3"/>
        <v>-1.9093945901390423</v>
      </c>
      <c r="T110" s="39">
        <v>40</v>
      </c>
      <c r="U110" s="6" t="s">
        <v>61</v>
      </c>
      <c r="V110" t="s">
        <v>111</v>
      </c>
      <c r="Y110">
        <v>1</v>
      </c>
      <c r="Z110">
        <v>0</v>
      </c>
      <c r="AA110" t="s">
        <v>51</v>
      </c>
      <c r="AC110" s="7" t="s">
        <v>52</v>
      </c>
      <c r="AD110" t="s">
        <v>66</v>
      </c>
    </row>
    <row r="111" spans="1:30" x14ac:dyDescent="0.25">
      <c r="A111" t="s">
        <v>112</v>
      </c>
      <c r="C111" s="25">
        <v>45324</v>
      </c>
      <c r="D111" s="15">
        <v>1000</v>
      </c>
      <c r="E111" t="s">
        <v>86</v>
      </c>
      <c r="F111" t="s">
        <v>47</v>
      </c>
      <c r="G111" s="15">
        <v>1000</v>
      </c>
      <c r="H111" s="15">
        <v>3000</v>
      </c>
      <c r="I111" s="20">
        <f t="shared" si="0"/>
        <v>300</v>
      </c>
      <c r="J111" s="15">
        <v>7920</v>
      </c>
      <c r="K111" s="15">
        <f>G111-0</f>
        <v>1000</v>
      </c>
      <c r="L111" s="15">
        <v>7920</v>
      </c>
      <c r="M111" s="30">
        <v>79.2</v>
      </c>
      <c r="N111" s="34">
        <v>138</v>
      </c>
      <c r="O111" s="39">
        <v>0.251</v>
      </c>
      <c r="P111" s="39">
        <v>0.251</v>
      </c>
      <c r="Q111" s="15">
        <f t="shared" si="1"/>
        <v>12.626262626262626</v>
      </c>
      <c r="R111" s="15">
        <f t="shared" si="2"/>
        <v>3984.0637450199201</v>
      </c>
      <c r="S111" s="44">
        <f t="shared" si="3"/>
        <v>9.1461518480714418E-2</v>
      </c>
      <c r="T111" s="39">
        <v>79.2</v>
      </c>
      <c r="U111" s="6" t="s">
        <v>61</v>
      </c>
      <c r="V111" t="s">
        <v>113</v>
      </c>
      <c r="Y111">
        <v>0</v>
      </c>
      <c r="Z111">
        <v>1</v>
      </c>
      <c r="AA111" t="s">
        <v>51</v>
      </c>
      <c r="AC111" s="7" t="s">
        <v>52</v>
      </c>
      <c r="AD111" t="s">
        <v>66</v>
      </c>
    </row>
    <row r="112" spans="1:30" x14ac:dyDescent="0.25">
      <c r="A112" t="s">
        <v>114</v>
      </c>
      <c r="B112" t="s">
        <v>115</v>
      </c>
      <c r="C112" s="25">
        <v>44958</v>
      </c>
      <c r="D112" s="15">
        <v>55000</v>
      </c>
      <c r="E112" t="s">
        <v>116</v>
      </c>
      <c r="F112" t="s">
        <v>47</v>
      </c>
      <c r="G112" s="15">
        <v>55000</v>
      </c>
      <c r="H112" s="15">
        <v>27100</v>
      </c>
      <c r="I112" s="20">
        <f t="shared" si="0"/>
        <v>49.272727272727273</v>
      </c>
      <c r="J112" s="15">
        <v>64766</v>
      </c>
      <c r="K112" s="15">
        <f>G112-58766</f>
        <v>-3766</v>
      </c>
      <c r="L112" s="15">
        <v>6000</v>
      </c>
      <c r="M112" s="30">
        <v>80</v>
      </c>
      <c r="N112" s="34">
        <v>130.300003</v>
      </c>
      <c r="O112" s="39">
        <v>0.23899999999999999</v>
      </c>
      <c r="P112" s="39">
        <v>0.23899999999999999</v>
      </c>
      <c r="Q112" s="15">
        <f t="shared" si="1"/>
        <v>-47.075000000000003</v>
      </c>
      <c r="R112" s="15">
        <f t="shared" si="2"/>
        <v>-15757.322175732219</v>
      </c>
      <c r="S112" s="44">
        <f t="shared" si="3"/>
        <v>-0.36173834195895821</v>
      </c>
      <c r="T112" s="39">
        <v>80</v>
      </c>
      <c r="U112" s="6" t="s">
        <v>61</v>
      </c>
      <c r="V112" t="s">
        <v>117</v>
      </c>
      <c r="Y112">
        <v>0</v>
      </c>
      <c r="Z112">
        <v>1</v>
      </c>
      <c r="AA112" t="s">
        <v>51</v>
      </c>
      <c r="AC112" s="7" t="s">
        <v>52</v>
      </c>
      <c r="AD112" t="s">
        <v>66</v>
      </c>
    </row>
    <row r="113" spans="1:30" x14ac:dyDescent="0.25">
      <c r="A113" t="s">
        <v>118</v>
      </c>
      <c r="B113" t="s">
        <v>119</v>
      </c>
      <c r="C113" s="25">
        <v>45180</v>
      </c>
      <c r="D113" s="15">
        <v>30000</v>
      </c>
      <c r="E113" t="s">
        <v>46</v>
      </c>
      <c r="F113" t="s">
        <v>47</v>
      </c>
      <c r="G113" s="15">
        <v>30000</v>
      </c>
      <c r="H113" s="15">
        <v>33200</v>
      </c>
      <c r="I113" s="20">
        <f t="shared" si="0"/>
        <v>110.66666666666667</v>
      </c>
      <c r="J113" s="15">
        <v>69686</v>
      </c>
      <c r="K113" s="15">
        <f>G113-65686</f>
        <v>-35686</v>
      </c>
      <c r="L113" s="15">
        <v>4000</v>
      </c>
      <c r="M113" s="30">
        <v>40</v>
      </c>
      <c r="N113" s="34">
        <v>138</v>
      </c>
      <c r="O113" s="39">
        <v>0.127</v>
      </c>
      <c r="P113" s="39">
        <v>0.127</v>
      </c>
      <c r="Q113" s="15">
        <f t="shared" si="1"/>
        <v>-892.15</v>
      </c>
      <c r="R113" s="15">
        <f t="shared" si="2"/>
        <v>-280992.12598425196</v>
      </c>
      <c r="S113" s="44">
        <f t="shared" si="3"/>
        <v>-6.4506915974346182</v>
      </c>
      <c r="T113" s="39">
        <v>40</v>
      </c>
      <c r="U113" s="6" t="s">
        <v>61</v>
      </c>
      <c r="V113" t="s">
        <v>120</v>
      </c>
      <c r="Y113">
        <v>0</v>
      </c>
      <c r="Z113">
        <v>1</v>
      </c>
      <c r="AA113" t="s">
        <v>51</v>
      </c>
      <c r="AC113" s="7" t="s">
        <v>52</v>
      </c>
      <c r="AD113" t="s">
        <v>58</v>
      </c>
    </row>
    <row r="114" spans="1:30" x14ac:dyDescent="0.25">
      <c r="A114" t="s">
        <v>121</v>
      </c>
      <c r="B114" t="s">
        <v>122</v>
      </c>
      <c r="C114" s="25">
        <v>45246</v>
      </c>
      <c r="D114" s="15">
        <v>39900</v>
      </c>
      <c r="E114" t="s">
        <v>123</v>
      </c>
      <c r="F114" t="s">
        <v>47</v>
      </c>
      <c r="G114" s="15">
        <v>39900</v>
      </c>
      <c r="H114" s="15">
        <v>23400</v>
      </c>
      <c r="I114" s="20">
        <f t="shared" si="0"/>
        <v>58.646616541353382</v>
      </c>
      <c r="J114" s="15">
        <v>49669</v>
      </c>
      <c r="K114" s="15">
        <f>G114-45669</f>
        <v>-5769</v>
      </c>
      <c r="L114" s="15">
        <v>4000</v>
      </c>
      <c r="M114" s="30">
        <v>40</v>
      </c>
      <c r="N114" s="34">
        <v>138</v>
      </c>
      <c r="O114" s="39">
        <v>0.127</v>
      </c>
      <c r="P114" s="39">
        <v>0.127</v>
      </c>
      <c r="Q114" s="15">
        <f t="shared" si="1"/>
        <v>-144.22499999999999</v>
      </c>
      <c r="R114" s="15">
        <f t="shared" si="2"/>
        <v>-45425.196850393702</v>
      </c>
      <c r="S114" s="44">
        <f t="shared" si="3"/>
        <v>-1.0428190277868159</v>
      </c>
      <c r="T114" s="39">
        <v>40</v>
      </c>
      <c r="U114" s="6" t="s">
        <v>61</v>
      </c>
      <c r="V114" t="s">
        <v>124</v>
      </c>
      <c r="Y114">
        <v>0</v>
      </c>
      <c r="Z114">
        <v>1</v>
      </c>
      <c r="AA114" t="s">
        <v>51</v>
      </c>
      <c r="AC114" s="7" t="s">
        <v>52</v>
      </c>
      <c r="AD114" t="s">
        <v>58</v>
      </c>
    </row>
    <row r="115" spans="1:30" x14ac:dyDescent="0.25">
      <c r="A115" t="s">
        <v>125</v>
      </c>
      <c r="B115" t="s">
        <v>126</v>
      </c>
      <c r="C115" s="25">
        <v>44984</v>
      </c>
      <c r="D115" s="15">
        <v>10000</v>
      </c>
      <c r="E115" t="s">
        <v>46</v>
      </c>
      <c r="F115" t="s">
        <v>47</v>
      </c>
      <c r="G115" s="15">
        <v>10000</v>
      </c>
      <c r="H115" s="15">
        <v>17600</v>
      </c>
      <c r="I115" s="20">
        <f t="shared" si="0"/>
        <v>176</v>
      </c>
      <c r="J115" s="15">
        <v>44262</v>
      </c>
      <c r="K115" s="15">
        <f>G115-36982</f>
        <v>-26982</v>
      </c>
      <c r="L115" s="15">
        <v>7280</v>
      </c>
      <c r="M115" s="30">
        <v>72.8</v>
      </c>
      <c r="N115" s="34">
        <v>117.274727</v>
      </c>
      <c r="O115" s="39">
        <v>0.21099999999999999</v>
      </c>
      <c r="P115" s="39">
        <v>0.19600000000000001</v>
      </c>
      <c r="Q115" s="15">
        <f t="shared" si="1"/>
        <v>-370.63186813186815</v>
      </c>
      <c r="R115" s="15">
        <f t="shared" si="2"/>
        <v>-127876.77725118485</v>
      </c>
      <c r="S115" s="44">
        <f t="shared" si="3"/>
        <v>-2.9356468606791748</v>
      </c>
      <c r="T115" s="39">
        <v>72.8</v>
      </c>
      <c r="U115" s="6" t="s">
        <v>61</v>
      </c>
      <c r="V115" t="s">
        <v>127</v>
      </c>
      <c r="Y115">
        <v>0</v>
      </c>
      <c r="Z115">
        <v>1</v>
      </c>
      <c r="AA115" t="s">
        <v>51</v>
      </c>
      <c r="AC115" s="7" t="s">
        <v>52</v>
      </c>
      <c r="AD115" t="s">
        <v>58</v>
      </c>
    </row>
    <row r="116" spans="1:30" x14ac:dyDescent="0.25">
      <c r="A116" t="s">
        <v>128</v>
      </c>
      <c r="B116" t="s">
        <v>129</v>
      </c>
      <c r="C116" s="25">
        <v>45197</v>
      </c>
      <c r="D116" s="15">
        <v>33000</v>
      </c>
      <c r="E116" t="s">
        <v>130</v>
      </c>
      <c r="F116" t="s">
        <v>47</v>
      </c>
      <c r="G116" s="15">
        <v>33000</v>
      </c>
      <c r="H116" s="15">
        <v>31600</v>
      </c>
      <c r="I116" s="20">
        <f t="shared" si="0"/>
        <v>95.757575757575751</v>
      </c>
      <c r="J116" s="15">
        <v>66386</v>
      </c>
      <c r="K116" s="15">
        <f>G116-62386</f>
        <v>-29386</v>
      </c>
      <c r="L116" s="15">
        <v>4000</v>
      </c>
      <c r="M116" s="30">
        <v>40</v>
      </c>
      <c r="N116" s="34">
        <v>138</v>
      </c>
      <c r="O116" s="39">
        <v>0.127</v>
      </c>
      <c r="P116" s="39">
        <v>0.127</v>
      </c>
      <c r="Q116" s="15">
        <f t="shared" si="1"/>
        <v>-734.65</v>
      </c>
      <c r="R116" s="15">
        <f t="shared" si="2"/>
        <v>-231385.82677165355</v>
      </c>
      <c r="S116" s="44">
        <f t="shared" si="3"/>
        <v>-5.3118876669341955</v>
      </c>
      <c r="T116" s="39">
        <v>40</v>
      </c>
      <c r="U116" s="6" t="s">
        <v>61</v>
      </c>
      <c r="V116" t="s">
        <v>131</v>
      </c>
      <c r="Y116">
        <v>0</v>
      </c>
      <c r="Z116">
        <v>1</v>
      </c>
      <c r="AA116" t="s">
        <v>51</v>
      </c>
      <c r="AC116" s="7" t="s">
        <v>52</v>
      </c>
      <c r="AD116" t="s">
        <v>58</v>
      </c>
    </row>
    <row r="117" spans="1:30" x14ac:dyDescent="0.25">
      <c r="A117" t="s">
        <v>132</v>
      </c>
      <c r="B117" t="s">
        <v>133</v>
      </c>
      <c r="C117" s="25">
        <v>44867</v>
      </c>
      <c r="D117" s="15">
        <v>15000</v>
      </c>
      <c r="E117" t="s">
        <v>46</v>
      </c>
      <c r="F117" t="s">
        <v>47</v>
      </c>
      <c r="G117" s="15">
        <v>15000</v>
      </c>
      <c r="H117" s="15">
        <v>24100</v>
      </c>
      <c r="I117" s="20">
        <f t="shared" si="0"/>
        <v>160.66666666666666</v>
      </c>
      <c r="J117" s="15">
        <v>57523</v>
      </c>
      <c r="K117" s="15">
        <f>G117-53523</f>
        <v>-38523</v>
      </c>
      <c r="L117" s="15">
        <v>4000</v>
      </c>
      <c r="M117" s="30">
        <v>40</v>
      </c>
      <c r="N117" s="34">
        <v>138</v>
      </c>
      <c r="O117" s="39">
        <v>0.127</v>
      </c>
      <c r="P117" s="39">
        <v>0.127</v>
      </c>
      <c r="Q117" s="15">
        <f t="shared" si="1"/>
        <v>-963.07500000000005</v>
      </c>
      <c r="R117" s="15">
        <f t="shared" si="2"/>
        <v>-303330.7086614173</v>
      </c>
      <c r="S117" s="44">
        <f t="shared" si="3"/>
        <v>-6.9635148912171099</v>
      </c>
      <c r="T117" s="39">
        <v>40</v>
      </c>
      <c r="U117" s="6" t="s">
        <v>61</v>
      </c>
      <c r="V117" t="s">
        <v>134</v>
      </c>
      <c r="Y117">
        <v>0</v>
      </c>
      <c r="Z117">
        <v>1</v>
      </c>
      <c r="AA117" t="s">
        <v>51</v>
      </c>
      <c r="AC117" s="7" t="s">
        <v>52</v>
      </c>
      <c r="AD117" t="s">
        <v>58</v>
      </c>
    </row>
    <row r="118" spans="1:30" x14ac:dyDescent="0.25">
      <c r="A118" t="s">
        <v>135</v>
      </c>
      <c r="B118" t="s">
        <v>136</v>
      </c>
      <c r="C118" s="25">
        <v>45168</v>
      </c>
      <c r="D118" s="15">
        <v>20000</v>
      </c>
      <c r="E118" t="s">
        <v>46</v>
      </c>
      <c r="F118" t="s">
        <v>47</v>
      </c>
      <c r="G118" s="15">
        <v>20000</v>
      </c>
      <c r="H118" s="15">
        <v>36200</v>
      </c>
      <c r="I118" s="20">
        <f t="shared" si="0"/>
        <v>181</v>
      </c>
      <c r="J118" s="15">
        <v>77365</v>
      </c>
      <c r="K118" s="15">
        <f>G118-73365</f>
        <v>-53365</v>
      </c>
      <c r="L118" s="15">
        <v>4000</v>
      </c>
      <c r="M118" s="30">
        <v>40</v>
      </c>
      <c r="N118" s="34">
        <v>138</v>
      </c>
      <c r="O118" s="39">
        <v>0.127</v>
      </c>
      <c r="P118" s="39">
        <v>0.127</v>
      </c>
      <c r="Q118" s="15">
        <f t="shared" si="1"/>
        <v>-1334.125</v>
      </c>
      <c r="R118" s="15">
        <f t="shared" si="2"/>
        <v>-420196.85039370076</v>
      </c>
      <c r="S118" s="44">
        <f t="shared" si="3"/>
        <v>-9.6463923414531862</v>
      </c>
      <c r="T118" s="39">
        <v>40</v>
      </c>
      <c r="U118" s="6" t="s">
        <v>61</v>
      </c>
      <c r="V118" t="s">
        <v>137</v>
      </c>
      <c r="Y118">
        <v>0</v>
      </c>
      <c r="Z118">
        <v>1</v>
      </c>
      <c r="AA118" t="s">
        <v>51</v>
      </c>
      <c r="AC118" s="7" t="s">
        <v>52</v>
      </c>
      <c r="AD118" t="s">
        <v>58</v>
      </c>
    </row>
    <row r="119" spans="1:30" x14ac:dyDescent="0.25">
      <c r="A119" t="s">
        <v>138</v>
      </c>
      <c r="B119" t="s">
        <v>139</v>
      </c>
      <c r="C119" s="25">
        <v>44753</v>
      </c>
      <c r="D119" s="15">
        <v>30000</v>
      </c>
      <c r="E119" t="s">
        <v>46</v>
      </c>
      <c r="F119" t="s">
        <v>47</v>
      </c>
      <c r="G119" s="15">
        <v>30000</v>
      </c>
      <c r="H119" s="15">
        <v>24200</v>
      </c>
      <c r="I119" s="20">
        <f t="shared" si="0"/>
        <v>80.666666666666657</v>
      </c>
      <c r="J119" s="15">
        <v>51856</v>
      </c>
      <c r="K119" s="15">
        <f>G119-44456</f>
        <v>-14456</v>
      </c>
      <c r="L119" s="15">
        <v>7400</v>
      </c>
      <c r="M119" s="30">
        <v>74</v>
      </c>
      <c r="N119" s="34">
        <v>70</v>
      </c>
      <c r="O119" s="39">
        <v>0.11899999999999999</v>
      </c>
      <c r="P119" s="39">
        <v>0.11899999999999999</v>
      </c>
      <c r="Q119" s="15">
        <f t="shared" si="1"/>
        <v>-195.35135135135135</v>
      </c>
      <c r="R119" s="15">
        <f t="shared" si="2"/>
        <v>-121478.99159663866</v>
      </c>
      <c r="S119" s="44">
        <f t="shared" si="3"/>
        <v>-2.7887739117685642</v>
      </c>
      <c r="T119" s="39">
        <v>74</v>
      </c>
      <c r="U119" s="6" t="s">
        <v>61</v>
      </c>
      <c r="V119" t="s">
        <v>140</v>
      </c>
      <c r="Y119">
        <v>0</v>
      </c>
      <c r="Z119">
        <v>1</v>
      </c>
      <c r="AA119" t="s">
        <v>51</v>
      </c>
      <c r="AC119" s="7" t="s">
        <v>52</v>
      </c>
      <c r="AD119" t="s">
        <v>58</v>
      </c>
    </row>
    <row r="120" spans="1:30" x14ac:dyDescent="0.25">
      <c r="A120" t="s">
        <v>141</v>
      </c>
      <c r="B120" t="s">
        <v>142</v>
      </c>
      <c r="C120" s="25">
        <v>45112</v>
      </c>
      <c r="D120" s="15">
        <v>45000</v>
      </c>
      <c r="E120" t="s">
        <v>130</v>
      </c>
      <c r="F120" t="s">
        <v>47</v>
      </c>
      <c r="G120" s="15">
        <v>45000</v>
      </c>
      <c r="H120" s="15">
        <v>20600</v>
      </c>
      <c r="I120" s="20">
        <f t="shared" si="0"/>
        <v>45.777777777777779</v>
      </c>
      <c r="J120" s="15">
        <v>43073</v>
      </c>
      <c r="K120" s="15">
        <f>G120-39073</f>
        <v>5927</v>
      </c>
      <c r="L120" s="15">
        <v>4000</v>
      </c>
      <c r="M120" s="30">
        <v>40</v>
      </c>
      <c r="N120" s="34">
        <v>136</v>
      </c>
      <c r="O120" s="39">
        <v>0.125</v>
      </c>
      <c r="P120" s="39">
        <v>0.125</v>
      </c>
      <c r="Q120" s="15">
        <f t="shared" si="1"/>
        <v>148.17500000000001</v>
      </c>
      <c r="R120" s="15">
        <f t="shared" si="2"/>
        <v>47416</v>
      </c>
      <c r="S120" s="44">
        <f t="shared" si="3"/>
        <v>1.0885215794306704</v>
      </c>
      <c r="T120" s="39">
        <v>40</v>
      </c>
      <c r="U120" s="6" t="s">
        <v>61</v>
      </c>
      <c r="V120" t="s">
        <v>143</v>
      </c>
      <c r="W120" t="s">
        <v>144</v>
      </c>
      <c r="Y120">
        <v>0</v>
      </c>
      <c r="Z120">
        <v>1</v>
      </c>
      <c r="AA120" t="s">
        <v>51</v>
      </c>
      <c r="AC120" s="7" t="s">
        <v>52</v>
      </c>
      <c r="AD120" t="s">
        <v>58</v>
      </c>
    </row>
    <row r="121" spans="1:30" x14ac:dyDescent="0.25">
      <c r="A121" t="s">
        <v>144</v>
      </c>
      <c r="B121" t="s">
        <v>145</v>
      </c>
      <c r="C121" s="25">
        <v>45112</v>
      </c>
      <c r="D121" s="15">
        <v>45000</v>
      </c>
      <c r="E121" t="s">
        <v>130</v>
      </c>
      <c r="F121" t="s">
        <v>47</v>
      </c>
      <c r="G121" s="15">
        <v>45000</v>
      </c>
      <c r="H121" s="15">
        <v>14900</v>
      </c>
      <c r="I121" s="20">
        <f t="shared" si="0"/>
        <v>33.111111111111114</v>
      </c>
      <c r="J121" s="15">
        <v>31224</v>
      </c>
      <c r="K121" s="15">
        <f>G121-27224</f>
        <v>17776</v>
      </c>
      <c r="L121" s="15">
        <v>4000</v>
      </c>
      <c r="M121" s="30">
        <v>40</v>
      </c>
      <c r="N121" s="34">
        <v>136</v>
      </c>
      <c r="O121" s="39">
        <v>0.125</v>
      </c>
      <c r="P121" s="39">
        <v>0.125</v>
      </c>
      <c r="Q121" s="15">
        <f t="shared" si="1"/>
        <v>444.4</v>
      </c>
      <c r="R121" s="15">
        <f t="shared" si="2"/>
        <v>142208</v>
      </c>
      <c r="S121" s="44">
        <f t="shared" si="3"/>
        <v>3.2646464646464648</v>
      </c>
      <c r="T121" s="39">
        <v>40</v>
      </c>
      <c r="U121" s="6" t="s">
        <v>61</v>
      </c>
      <c r="V121" t="s">
        <v>143</v>
      </c>
      <c r="W121" t="s">
        <v>141</v>
      </c>
      <c r="Y121">
        <v>0</v>
      </c>
      <c r="Z121">
        <v>1</v>
      </c>
      <c r="AA121" t="s">
        <v>51</v>
      </c>
      <c r="AC121" s="7" t="s">
        <v>52</v>
      </c>
      <c r="AD121" t="s">
        <v>58</v>
      </c>
    </row>
    <row r="122" spans="1:30" x14ac:dyDescent="0.25">
      <c r="A122" t="s">
        <v>146</v>
      </c>
      <c r="B122" t="s">
        <v>147</v>
      </c>
      <c r="C122" s="25">
        <v>44880</v>
      </c>
      <c r="D122" s="15">
        <v>72900</v>
      </c>
      <c r="E122" t="s">
        <v>46</v>
      </c>
      <c r="F122" t="s">
        <v>47</v>
      </c>
      <c r="G122" s="15">
        <v>72900</v>
      </c>
      <c r="H122" s="15">
        <v>40300</v>
      </c>
      <c r="I122" s="20">
        <f t="shared" si="0"/>
        <v>55.281207133058984</v>
      </c>
      <c r="J122" s="15">
        <v>96622</v>
      </c>
      <c r="K122" s="15">
        <f>G122-88622</f>
        <v>-15722</v>
      </c>
      <c r="L122" s="15">
        <v>8000</v>
      </c>
      <c r="M122" s="30">
        <v>80</v>
      </c>
      <c r="N122" s="34">
        <v>136</v>
      </c>
      <c r="O122" s="39">
        <v>0.25</v>
      </c>
      <c r="P122" s="39">
        <v>0.25</v>
      </c>
      <c r="Q122" s="15">
        <f t="shared" si="1"/>
        <v>-196.52500000000001</v>
      </c>
      <c r="R122" s="15">
        <f t="shared" si="2"/>
        <v>-62888</v>
      </c>
      <c r="S122" s="44">
        <f t="shared" si="3"/>
        <v>-1.4437098255280074</v>
      </c>
      <c r="T122" s="39">
        <v>80</v>
      </c>
      <c r="U122" s="6" t="s">
        <v>61</v>
      </c>
      <c r="V122" t="s">
        <v>148</v>
      </c>
      <c r="Y122">
        <v>0</v>
      </c>
      <c r="Z122">
        <v>1</v>
      </c>
      <c r="AA122" t="s">
        <v>51</v>
      </c>
      <c r="AC122" s="7" t="s">
        <v>52</v>
      </c>
      <c r="AD122" t="s">
        <v>58</v>
      </c>
    </row>
    <row r="123" spans="1:30" x14ac:dyDescent="0.25">
      <c r="A123" t="s">
        <v>149</v>
      </c>
      <c r="B123" t="s">
        <v>150</v>
      </c>
      <c r="C123" s="25">
        <v>44701</v>
      </c>
      <c r="D123" s="15">
        <v>55000</v>
      </c>
      <c r="E123" t="s">
        <v>46</v>
      </c>
      <c r="F123" t="s">
        <v>47</v>
      </c>
      <c r="G123" s="15">
        <v>55000</v>
      </c>
      <c r="H123" s="15">
        <v>19200</v>
      </c>
      <c r="I123" s="20">
        <f t="shared" si="0"/>
        <v>34.909090909090914</v>
      </c>
      <c r="J123" s="15">
        <v>41272</v>
      </c>
      <c r="K123" s="15">
        <f>G123-37272</f>
        <v>17728</v>
      </c>
      <c r="L123" s="15">
        <v>4000</v>
      </c>
      <c r="M123" s="30">
        <v>40</v>
      </c>
      <c r="N123" s="34">
        <v>136</v>
      </c>
      <c r="O123" s="39">
        <v>0.125</v>
      </c>
      <c r="P123" s="39">
        <v>0.125</v>
      </c>
      <c r="Q123" s="15">
        <f t="shared" si="1"/>
        <v>443.2</v>
      </c>
      <c r="R123" s="15">
        <f t="shared" si="2"/>
        <v>141824</v>
      </c>
      <c r="S123" s="44">
        <f t="shared" si="3"/>
        <v>3.2558310376492194</v>
      </c>
      <c r="T123" s="39">
        <v>40</v>
      </c>
      <c r="U123" s="6" t="s">
        <v>61</v>
      </c>
      <c r="V123" t="s">
        <v>151</v>
      </c>
      <c r="Y123">
        <v>0</v>
      </c>
      <c r="Z123">
        <v>1</v>
      </c>
      <c r="AA123" t="s">
        <v>51</v>
      </c>
      <c r="AC123" s="7" t="s">
        <v>52</v>
      </c>
      <c r="AD123" t="s">
        <v>58</v>
      </c>
    </row>
    <row r="124" spans="1:30" x14ac:dyDescent="0.25">
      <c r="A124" t="s">
        <v>152</v>
      </c>
      <c r="B124" t="s">
        <v>153</v>
      </c>
      <c r="C124" s="25">
        <v>44707</v>
      </c>
      <c r="D124" s="15">
        <v>118000</v>
      </c>
      <c r="E124" t="s">
        <v>46</v>
      </c>
      <c r="F124" t="s">
        <v>47</v>
      </c>
      <c r="G124" s="15">
        <v>118000</v>
      </c>
      <c r="H124" s="15">
        <v>35700</v>
      </c>
      <c r="I124" s="20">
        <f t="shared" ref="I124:I155" si="4">H124/G124*100</f>
        <v>30.254237288135595</v>
      </c>
      <c r="J124" s="15">
        <v>77066</v>
      </c>
      <c r="K124" s="15">
        <f>G124-69066</f>
        <v>48934</v>
      </c>
      <c r="L124" s="15">
        <v>8000</v>
      </c>
      <c r="M124" s="30">
        <v>80</v>
      </c>
      <c r="N124" s="34">
        <v>136</v>
      </c>
      <c r="O124" s="39">
        <v>0.25</v>
      </c>
      <c r="P124" s="39">
        <v>0.25</v>
      </c>
      <c r="Q124" s="15">
        <f t="shared" ref="Q124:Q155" si="5">K124/M124</f>
        <v>611.67499999999995</v>
      </c>
      <c r="R124" s="15">
        <f t="shared" ref="R124:R155" si="6">K124/O124</f>
        <v>195736</v>
      </c>
      <c r="S124" s="44">
        <f t="shared" ref="S124:S155" si="7">K124/O124/43560</f>
        <v>4.4934802571166204</v>
      </c>
      <c r="T124" s="39">
        <v>80</v>
      </c>
      <c r="U124" s="6" t="s">
        <v>61</v>
      </c>
      <c r="V124" t="s">
        <v>154</v>
      </c>
      <c r="Y124">
        <v>0</v>
      </c>
      <c r="Z124">
        <v>1</v>
      </c>
      <c r="AA124" t="s">
        <v>51</v>
      </c>
      <c r="AC124" s="7" t="s">
        <v>52</v>
      </c>
      <c r="AD124" t="s">
        <v>58</v>
      </c>
    </row>
    <row r="125" spans="1:30" x14ac:dyDescent="0.25">
      <c r="A125" t="s">
        <v>155</v>
      </c>
      <c r="B125" t="s">
        <v>156</v>
      </c>
      <c r="C125" s="25">
        <v>44676</v>
      </c>
      <c r="D125" s="15">
        <v>61000</v>
      </c>
      <c r="E125" t="s">
        <v>46</v>
      </c>
      <c r="F125" t="s">
        <v>47</v>
      </c>
      <c r="G125" s="15">
        <v>61000</v>
      </c>
      <c r="H125" s="15">
        <v>19200</v>
      </c>
      <c r="I125" s="20">
        <f t="shared" si="4"/>
        <v>31.475409836065577</v>
      </c>
      <c r="J125" s="15">
        <v>41574</v>
      </c>
      <c r="K125" s="15">
        <f>G125-33574</f>
        <v>27426</v>
      </c>
      <c r="L125" s="15">
        <v>8000</v>
      </c>
      <c r="M125" s="30">
        <v>80</v>
      </c>
      <c r="N125" s="34">
        <v>136</v>
      </c>
      <c r="O125" s="39">
        <v>0.25</v>
      </c>
      <c r="P125" s="39">
        <v>0.25</v>
      </c>
      <c r="Q125" s="15">
        <f t="shared" si="5"/>
        <v>342.82499999999999</v>
      </c>
      <c r="R125" s="15">
        <f t="shared" si="6"/>
        <v>109704</v>
      </c>
      <c r="S125" s="44">
        <f t="shared" si="7"/>
        <v>2.518457300275482</v>
      </c>
      <c r="T125" s="39">
        <v>80</v>
      </c>
      <c r="U125" s="6" t="s">
        <v>61</v>
      </c>
      <c r="V125" t="s">
        <v>157</v>
      </c>
      <c r="Y125">
        <v>0</v>
      </c>
      <c r="Z125">
        <v>1</v>
      </c>
      <c r="AA125" t="s">
        <v>51</v>
      </c>
      <c r="AC125" s="7" t="s">
        <v>52</v>
      </c>
      <c r="AD125" t="s">
        <v>58</v>
      </c>
    </row>
    <row r="126" spans="1:30" x14ac:dyDescent="0.25">
      <c r="A126" t="s">
        <v>158</v>
      </c>
      <c r="B126" t="s">
        <v>159</v>
      </c>
      <c r="C126" s="25">
        <v>44851</v>
      </c>
      <c r="D126" s="15">
        <v>135000</v>
      </c>
      <c r="E126" t="s">
        <v>46</v>
      </c>
      <c r="F126" t="s">
        <v>47</v>
      </c>
      <c r="G126" s="15">
        <v>135000</v>
      </c>
      <c r="H126" s="15">
        <v>30100</v>
      </c>
      <c r="I126" s="20">
        <f t="shared" si="4"/>
        <v>22.296296296296298</v>
      </c>
      <c r="J126" s="15">
        <v>64750</v>
      </c>
      <c r="K126" s="15">
        <f>G126-56750</f>
        <v>78250</v>
      </c>
      <c r="L126" s="15">
        <v>8000</v>
      </c>
      <c r="M126" s="30">
        <v>80</v>
      </c>
      <c r="N126" s="34">
        <v>136</v>
      </c>
      <c r="O126" s="39">
        <v>0.25</v>
      </c>
      <c r="P126" s="39">
        <v>0.25</v>
      </c>
      <c r="Q126" s="15">
        <f t="shared" si="5"/>
        <v>978.125</v>
      </c>
      <c r="R126" s="15">
        <f t="shared" si="6"/>
        <v>313000</v>
      </c>
      <c r="S126" s="44">
        <f t="shared" si="7"/>
        <v>7.1854912764003673</v>
      </c>
      <c r="T126" s="39">
        <v>80</v>
      </c>
      <c r="U126" s="6" t="s">
        <v>61</v>
      </c>
      <c r="V126" t="s">
        <v>160</v>
      </c>
      <c r="Y126">
        <v>0</v>
      </c>
      <c r="Z126">
        <v>1</v>
      </c>
      <c r="AA126" t="s">
        <v>51</v>
      </c>
      <c r="AC126" s="7" t="s">
        <v>52</v>
      </c>
      <c r="AD126" t="s">
        <v>58</v>
      </c>
    </row>
    <row r="127" spans="1:30" x14ac:dyDescent="0.25">
      <c r="A127" t="s">
        <v>161</v>
      </c>
      <c r="B127" t="s">
        <v>162</v>
      </c>
      <c r="C127" s="25">
        <v>44914</v>
      </c>
      <c r="D127" s="15">
        <v>101000</v>
      </c>
      <c r="E127" t="s">
        <v>46</v>
      </c>
      <c r="F127" t="s">
        <v>47</v>
      </c>
      <c r="G127" s="15">
        <v>101000</v>
      </c>
      <c r="H127" s="15">
        <v>24200</v>
      </c>
      <c r="I127" s="20">
        <f t="shared" si="4"/>
        <v>23.96039603960396</v>
      </c>
      <c r="J127" s="15">
        <v>57829</v>
      </c>
      <c r="K127" s="15">
        <f>G127-50029</f>
        <v>50971</v>
      </c>
      <c r="L127" s="15">
        <v>7800</v>
      </c>
      <c r="M127" s="30">
        <v>78</v>
      </c>
      <c r="N127" s="34">
        <v>136</v>
      </c>
      <c r="O127" s="39">
        <v>0.24399999999999999</v>
      </c>
      <c r="P127" s="39">
        <v>0.24399999999999999</v>
      </c>
      <c r="Q127" s="15">
        <f t="shared" si="5"/>
        <v>653.47435897435901</v>
      </c>
      <c r="R127" s="15">
        <f t="shared" si="6"/>
        <v>208897.54098360657</v>
      </c>
      <c r="S127" s="44">
        <f t="shared" si="7"/>
        <v>4.7956276626172309</v>
      </c>
      <c r="T127" s="39">
        <v>78</v>
      </c>
      <c r="U127" s="6" t="s">
        <v>61</v>
      </c>
      <c r="V127" t="s">
        <v>163</v>
      </c>
      <c r="Y127">
        <v>0</v>
      </c>
      <c r="Z127">
        <v>1</v>
      </c>
      <c r="AA127" t="s">
        <v>51</v>
      </c>
      <c r="AC127" s="7" t="s">
        <v>52</v>
      </c>
      <c r="AD127" t="s">
        <v>58</v>
      </c>
    </row>
    <row r="128" spans="1:30" x14ac:dyDescent="0.25">
      <c r="A128" t="s">
        <v>164</v>
      </c>
      <c r="B128" t="s">
        <v>165</v>
      </c>
      <c r="C128" s="25">
        <v>45345</v>
      </c>
      <c r="D128" s="15">
        <v>120000</v>
      </c>
      <c r="E128" t="s">
        <v>46</v>
      </c>
      <c r="F128" t="s">
        <v>47</v>
      </c>
      <c r="G128" s="15">
        <v>120000</v>
      </c>
      <c r="H128" s="15">
        <v>75900</v>
      </c>
      <c r="I128" s="20">
        <f t="shared" si="4"/>
        <v>63.249999999999993</v>
      </c>
      <c r="J128" s="15">
        <v>197695</v>
      </c>
      <c r="K128" s="15">
        <f>G128-186215</f>
        <v>-66215</v>
      </c>
      <c r="L128" s="15">
        <v>11480</v>
      </c>
      <c r="M128" s="30">
        <v>82</v>
      </c>
      <c r="N128" s="34">
        <v>136</v>
      </c>
      <c r="O128" s="39">
        <v>0.25600000000000001</v>
      </c>
      <c r="P128" s="39">
        <v>0.25600000000000001</v>
      </c>
      <c r="Q128" s="15">
        <f t="shared" si="5"/>
        <v>-807.5</v>
      </c>
      <c r="R128" s="15">
        <f t="shared" si="6"/>
        <v>-258652.34375</v>
      </c>
      <c r="S128" s="44">
        <f t="shared" si="7"/>
        <v>-5.9378407656106518</v>
      </c>
      <c r="T128" s="39">
        <v>82</v>
      </c>
      <c r="U128" s="6" t="s">
        <v>61</v>
      </c>
      <c r="V128" t="s">
        <v>166</v>
      </c>
      <c r="Y128">
        <v>0</v>
      </c>
      <c r="Z128">
        <v>1</v>
      </c>
      <c r="AA128" t="s">
        <v>51</v>
      </c>
      <c r="AC128" s="7" t="s">
        <v>52</v>
      </c>
      <c r="AD128" t="s">
        <v>58</v>
      </c>
    </row>
    <row r="129" spans="1:30" x14ac:dyDescent="0.25">
      <c r="A129" t="s">
        <v>167</v>
      </c>
      <c r="B129" t="s">
        <v>168</v>
      </c>
      <c r="C129" s="25">
        <v>44988</v>
      </c>
      <c r="D129" s="15">
        <v>140000</v>
      </c>
      <c r="E129" t="s">
        <v>46</v>
      </c>
      <c r="F129" t="s">
        <v>47</v>
      </c>
      <c r="G129" s="15">
        <v>140000</v>
      </c>
      <c r="H129" s="15">
        <v>40900</v>
      </c>
      <c r="I129" s="20">
        <f t="shared" si="4"/>
        <v>29.214285714285715</v>
      </c>
      <c r="J129" s="15">
        <v>102119</v>
      </c>
      <c r="K129" s="15">
        <f>G129-93919</f>
        <v>46081</v>
      </c>
      <c r="L129" s="15">
        <v>8200</v>
      </c>
      <c r="M129" s="30">
        <v>82</v>
      </c>
      <c r="N129" s="34">
        <v>136</v>
      </c>
      <c r="O129" s="39">
        <v>0.25600000000000001</v>
      </c>
      <c r="P129" s="39">
        <v>0.25600000000000001</v>
      </c>
      <c r="Q129" s="15">
        <f t="shared" si="5"/>
        <v>561.96341463414637</v>
      </c>
      <c r="R129" s="15">
        <f t="shared" si="6"/>
        <v>180003.90625</v>
      </c>
      <c r="S129" s="44">
        <f t="shared" si="7"/>
        <v>4.1323210801193753</v>
      </c>
      <c r="T129" s="39">
        <v>82</v>
      </c>
      <c r="U129" s="6" t="s">
        <v>61</v>
      </c>
      <c r="V129" t="s">
        <v>169</v>
      </c>
      <c r="Y129">
        <v>0</v>
      </c>
      <c r="Z129">
        <v>1</v>
      </c>
      <c r="AA129" t="s">
        <v>51</v>
      </c>
      <c r="AC129" s="7" t="s">
        <v>52</v>
      </c>
      <c r="AD129" t="s">
        <v>58</v>
      </c>
    </row>
    <row r="130" spans="1:30" x14ac:dyDescent="0.25">
      <c r="A130" t="s">
        <v>170</v>
      </c>
      <c r="B130" t="s">
        <v>171</v>
      </c>
      <c r="C130" s="25">
        <v>44896</v>
      </c>
      <c r="D130" s="15">
        <v>47000</v>
      </c>
      <c r="E130" t="s">
        <v>46</v>
      </c>
      <c r="F130" t="s">
        <v>47</v>
      </c>
      <c r="G130" s="15">
        <v>47000</v>
      </c>
      <c r="H130" s="15">
        <v>28200</v>
      </c>
      <c r="I130" s="20">
        <f t="shared" si="4"/>
        <v>60</v>
      </c>
      <c r="J130" s="15">
        <v>67230</v>
      </c>
      <c r="K130" s="15">
        <f>G130-61230</f>
        <v>-14230</v>
      </c>
      <c r="L130" s="15">
        <v>6000</v>
      </c>
      <c r="M130" s="30">
        <v>80</v>
      </c>
      <c r="N130" s="34">
        <v>130</v>
      </c>
      <c r="O130" s="39">
        <v>0.23899999999999999</v>
      </c>
      <c r="P130" s="39">
        <v>0.23899999999999999</v>
      </c>
      <c r="Q130" s="15">
        <f t="shared" si="5"/>
        <v>-177.875</v>
      </c>
      <c r="R130" s="15">
        <f t="shared" si="6"/>
        <v>-59539.7489539749</v>
      </c>
      <c r="S130" s="44">
        <f t="shared" si="7"/>
        <v>-1.3668445581720592</v>
      </c>
      <c r="T130" s="39">
        <v>80</v>
      </c>
      <c r="U130" s="6" t="s">
        <v>61</v>
      </c>
      <c r="V130" t="s">
        <v>172</v>
      </c>
      <c r="Y130">
        <v>0</v>
      </c>
      <c r="Z130">
        <v>1</v>
      </c>
      <c r="AA130" t="s">
        <v>51</v>
      </c>
      <c r="AC130" s="7" t="s">
        <v>52</v>
      </c>
      <c r="AD130" t="s">
        <v>66</v>
      </c>
    </row>
    <row r="131" spans="1:30" x14ac:dyDescent="0.25">
      <c r="A131" t="s">
        <v>173</v>
      </c>
      <c r="B131" t="s">
        <v>174</v>
      </c>
      <c r="C131" s="25">
        <v>45233</v>
      </c>
      <c r="D131" s="15">
        <v>120000</v>
      </c>
      <c r="E131" t="s">
        <v>46</v>
      </c>
      <c r="F131" t="s">
        <v>47</v>
      </c>
      <c r="G131" s="15">
        <v>120000</v>
      </c>
      <c r="H131" s="15">
        <v>32600</v>
      </c>
      <c r="I131" s="20">
        <f t="shared" si="4"/>
        <v>27.166666666666668</v>
      </c>
      <c r="J131" s="15">
        <v>68365</v>
      </c>
      <c r="K131" s="15">
        <f>G131-63365</f>
        <v>56635</v>
      </c>
      <c r="L131" s="15">
        <v>5000</v>
      </c>
      <c r="M131" s="30">
        <v>50</v>
      </c>
      <c r="N131" s="34">
        <v>138</v>
      </c>
      <c r="O131" s="39">
        <v>0.158</v>
      </c>
      <c r="P131" s="39">
        <v>0.158</v>
      </c>
      <c r="Q131" s="15">
        <f t="shared" si="5"/>
        <v>1132.7</v>
      </c>
      <c r="R131" s="15">
        <f t="shared" si="6"/>
        <v>358449.36708860757</v>
      </c>
      <c r="S131" s="44">
        <f t="shared" si="7"/>
        <v>8.228865176506142</v>
      </c>
      <c r="T131" s="39">
        <v>50</v>
      </c>
      <c r="U131" s="6" t="s">
        <v>61</v>
      </c>
      <c r="V131" t="s">
        <v>175</v>
      </c>
      <c r="Y131">
        <v>0</v>
      </c>
      <c r="Z131">
        <v>1</v>
      </c>
      <c r="AA131" t="s">
        <v>51</v>
      </c>
      <c r="AC131" s="7" t="s">
        <v>52</v>
      </c>
      <c r="AD131" t="s">
        <v>58</v>
      </c>
    </row>
    <row r="132" spans="1:30" x14ac:dyDescent="0.25">
      <c r="A132" t="s">
        <v>176</v>
      </c>
      <c r="B132" t="s">
        <v>177</v>
      </c>
      <c r="C132" s="25">
        <v>44974</v>
      </c>
      <c r="D132" s="15">
        <v>115000</v>
      </c>
      <c r="E132" t="s">
        <v>46</v>
      </c>
      <c r="F132" t="s">
        <v>47</v>
      </c>
      <c r="G132" s="15">
        <v>115000</v>
      </c>
      <c r="H132" s="15">
        <v>29100</v>
      </c>
      <c r="I132" s="20">
        <f t="shared" si="4"/>
        <v>25.304347826086961</v>
      </c>
      <c r="J132" s="15">
        <v>73133</v>
      </c>
      <c r="K132" s="15">
        <f>G132-65133</f>
        <v>49867</v>
      </c>
      <c r="L132" s="15">
        <v>8000</v>
      </c>
      <c r="M132" s="30">
        <v>80</v>
      </c>
      <c r="N132" s="34">
        <v>138</v>
      </c>
      <c r="O132" s="39">
        <v>0.253</v>
      </c>
      <c r="P132" s="39">
        <v>0.253</v>
      </c>
      <c r="Q132" s="15">
        <f t="shared" si="5"/>
        <v>623.33749999999998</v>
      </c>
      <c r="R132" s="15">
        <f t="shared" si="6"/>
        <v>197102.76679841898</v>
      </c>
      <c r="S132" s="44">
        <f t="shared" si="7"/>
        <v>4.5248569053815189</v>
      </c>
      <c r="T132" s="39">
        <v>80</v>
      </c>
      <c r="U132" s="6" t="s">
        <v>61</v>
      </c>
      <c r="V132" t="s">
        <v>178</v>
      </c>
      <c r="Y132">
        <v>0</v>
      </c>
      <c r="Z132">
        <v>1</v>
      </c>
      <c r="AA132" t="s">
        <v>51</v>
      </c>
      <c r="AC132" s="7" t="s">
        <v>52</v>
      </c>
      <c r="AD132" t="s">
        <v>58</v>
      </c>
    </row>
    <row r="133" spans="1:30" x14ac:dyDescent="0.25">
      <c r="A133" t="s">
        <v>179</v>
      </c>
      <c r="B133" t="s">
        <v>180</v>
      </c>
      <c r="C133" s="25">
        <v>45330</v>
      </c>
      <c r="D133" s="15">
        <v>68000</v>
      </c>
      <c r="E133" t="s">
        <v>46</v>
      </c>
      <c r="F133" t="s">
        <v>47</v>
      </c>
      <c r="G133" s="15">
        <v>68000</v>
      </c>
      <c r="H133" s="15">
        <v>32200</v>
      </c>
      <c r="I133" s="20">
        <f t="shared" si="4"/>
        <v>47.352941176470587</v>
      </c>
      <c r="J133" s="15">
        <v>84022</v>
      </c>
      <c r="K133" s="15">
        <f>G133-75622</f>
        <v>-7622</v>
      </c>
      <c r="L133" s="15">
        <v>8400</v>
      </c>
      <c r="M133" s="30">
        <v>60</v>
      </c>
      <c r="N133" s="34">
        <v>144.5</v>
      </c>
      <c r="O133" s="39">
        <v>0.19900000000000001</v>
      </c>
      <c r="P133" s="39">
        <v>0.19900000000000001</v>
      </c>
      <c r="Q133" s="15">
        <f t="shared" si="5"/>
        <v>-127.03333333333333</v>
      </c>
      <c r="R133" s="15">
        <f t="shared" si="6"/>
        <v>-38301.507537688442</v>
      </c>
      <c r="S133" s="44">
        <f t="shared" si="7"/>
        <v>-0.8792816239138761</v>
      </c>
      <c r="T133" s="39">
        <v>60</v>
      </c>
      <c r="U133" s="6" t="s">
        <v>61</v>
      </c>
      <c r="V133" t="s">
        <v>181</v>
      </c>
      <c r="Y133">
        <v>0</v>
      </c>
      <c r="Z133">
        <v>1</v>
      </c>
      <c r="AA133" t="s">
        <v>51</v>
      </c>
      <c r="AC133" s="7" t="s">
        <v>52</v>
      </c>
      <c r="AD133" t="s">
        <v>58</v>
      </c>
    </row>
    <row r="134" spans="1:30" x14ac:dyDescent="0.25">
      <c r="A134" t="s">
        <v>182</v>
      </c>
      <c r="B134" t="s">
        <v>183</v>
      </c>
      <c r="C134" s="25">
        <v>44713</v>
      </c>
      <c r="D134" s="15">
        <v>65000</v>
      </c>
      <c r="E134" t="s">
        <v>46</v>
      </c>
      <c r="F134" t="s">
        <v>47</v>
      </c>
      <c r="G134" s="15">
        <v>65000</v>
      </c>
      <c r="H134" s="15">
        <v>36800</v>
      </c>
      <c r="I134" s="20">
        <f t="shared" si="4"/>
        <v>56.615384615384613</v>
      </c>
      <c r="J134" s="15">
        <v>79225</v>
      </c>
      <c r="K134" s="15">
        <f>G134-73225</f>
        <v>-8225</v>
      </c>
      <c r="L134" s="15">
        <v>6000</v>
      </c>
      <c r="M134" s="30">
        <v>80</v>
      </c>
      <c r="N134" s="34">
        <v>138</v>
      </c>
      <c r="O134" s="39">
        <v>0.253</v>
      </c>
      <c r="P134" s="39">
        <v>0.253</v>
      </c>
      <c r="Q134" s="15">
        <f t="shared" si="5"/>
        <v>-102.8125</v>
      </c>
      <c r="R134" s="15">
        <f t="shared" si="6"/>
        <v>-32509.8814229249</v>
      </c>
      <c r="S134" s="44">
        <f t="shared" si="7"/>
        <v>-0.74632418326273875</v>
      </c>
      <c r="T134" s="39">
        <v>80</v>
      </c>
      <c r="U134" s="6" t="s">
        <v>61</v>
      </c>
      <c r="V134" t="s">
        <v>184</v>
      </c>
      <c r="Y134">
        <v>0</v>
      </c>
      <c r="Z134">
        <v>1</v>
      </c>
      <c r="AA134" t="s">
        <v>51</v>
      </c>
      <c r="AC134" s="7" t="s">
        <v>52</v>
      </c>
      <c r="AD134" t="s">
        <v>66</v>
      </c>
    </row>
    <row r="135" spans="1:30" x14ac:dyDescent="0.25">
      <c r="A135" t="s">
        <v>185</v>
      </c>
      <c r="B135" t="s">
        <v>186</v>
      </c>
      <c r="C135" s="25">
        <v>44781</v>
      </c>
      <c r="D135" s="15">
        <v>50290</v>
      </c>
      <c r="E135" t="s">
        <v>46</v>
      </c>
      <c r="F135" t="s">
        <v>47</v>
      </c>
      <c r="G135" s="15">
        <v>50290</v>
      </c>
      <c r="H135" s="15">
        <v>18800</v>
      </c>
      <c r="I135" s="20">
        <f t="shared" si="4"/>
        <v>37.383177570093459</v>
      </c>
      <c r="J135" s="15">
        <v>41020</v>
      </c>
      <c r="K135" s="15">
        <f>G135-38020</f>
        <v>12270</v>
      </c>
      <c r="L135" s="15">
        <v>3000</v>
      </c>
      <c r="M135" s="30">
        <v>40</v>
      </c>
      <c r="N135" s="34">
        <v>138</v>
      </c>
      <c r="O135" s="39">
        <v>0.127</v>
      </c>
      <c r="P135" s="39">
        <v>0.127</v>
      </c>
      <c r="Q135" s="15">
        <f t="shared" si="5"/>
        <v>306.75</v>
      </c>
      <c r="R135" s="15">
        <f t="shared" si="6"/>
        <v>96614.173228346452</v>
      </c>
      <c r="S135" s="44">
        <f t="shared" si="7"/>
        <v>2.2179562265460619</v>
      </c>
      <c r="T135" s="39">
        <v>40</v>
      </c>
      <c r="U135" s="6" t="s">
        <v>61</v>
      </c>
      <c r="V135" t="s">
        <v>187</v>
      </c>
      <c r="Y135">
        <v>0</v>
      </c>
      <c r="Z135">
        <v>1</v>
      </c>
      <c r="AA135" t="s">
        <v>51</v>
      </c>
      <c r="AC135" s="7" t="s">
        <v>52</v>
      </c>
      <c r="AD135" t="s">
        <v>66</v>
      </c>
    </row>
    <row r="136" spans="1:30" x14ac:dyDescent="0.25">
      <c r="A136" t="s">
        <v>188</v>
      </c>
      <c r="B136" t="s">
        <v>189</v>
      </c>
      <c r="C136" s="25">
        <v>44762</v>
      </c>
      <c r="D136" s="15">
        <v>36500</v>
      </c>
      <c r="E136" t="s">
        <v>46</v>
      </c>
      <c r="F136" t="s">
        <v>47</v>
      </c>
      <c r="G136" s="15">
        <v>36500</v>
      </c>
      <c r="H136" s="15">
        <v>25000</v>
      </c>
      <c r="I136" s="20">
        <f t="shared" si="4"/>
        <v>68.493150684931507</v>
      </c>
      <c r="J136" s="15">
        <v>54763</v>
      </c>
      <c r="K136" s="15">
        <f>G136-51763</f>
        <v>-15263</v>
      </c>
      <c r="L136" s="15">
        <v>3000</v>
      </c>
      <c r="M136" s="30">
        <v>40</v>
      </c>
      <c r="N136" s="34">
        <v>138</v>
      </c>
      <c r="O136" s="39">
        <v>0.127</v>
      </c>
      <c r="P136" s="39">
        <v>0.127</v>
      </c>
      <c r="Q136" s="15">
        <f t="shared" si="5"/>
        <v>-381.57499999999999</v>
      </c>
      <c r="R136" s="15">
        <f t="shared" si="6"/>
        <v>-120181.10236220472</v>
      </c>
      <c r="S136" s="44">
        <f t="shared" si="7"/>
        <v>-2.7589784747980883</v>
      </c>
      <c r="T136" s="39">
        <v>40</v>
      </c>
      <c r="U136" s="6" t="s">
        <v>61</v>
      </c>
      <c r="V136" t="s">
        <v>190</v>
      </c>
      <c r="Y136">
        <v>0</v>
      </c>
      <c r="Z136">
        <v>1</v>
      </c>
      <c r="AA136" t="s">
        <v>51</v>
      </c>
      <c r="AC136" s="7" t="s">
        <v>52</v>
      </c>
      <c r="AD136" t="s">
        <v>66</v>
      </c>
    </row>
    <row r="137" spans="1:30" x14ac:dyDescent="0.25">
      <c r="A137" t="s">
        <v>191</v>
      </c>
      <c r="B137" t="s">
        <v>192</v>
      </c>
      <c r="C137" s="25">
        <v>45022</v>
      </c>
      <c r="D137" s="15">
        <v>23000</v>
      </c>
      <c r="E137" t="s">
        <v>86</v>
      </c>
      <c r="F137" t="s">
        <v>47</v>
      </c>
      <c r="G137" s="15">
        <v>23000</v>
      </c>
      <c r="H137" s="15">
        <v>23100</v>
      </c>
      <c r="I137" s="20">
        <f t="shared" si="4"/>
        <v>100.43478260869566</v>
      </c>
      <c r="J137" s="15">
        <v>48318</v>
      </c>
      <c r="K137" s="15">
        <f>G137-42640</f>
        <v>-19640</v>
      </c>
      <c r="L137" s="15">
        <v>5678</v>
      </c>
      <c r="M137" s="30">
        <v>75.7</v>
      </c>
      <c r="N137" s="34">
        <v>136</v>
      </c>
      <c r="O137" s="39">
        <v>0.23599999999999999</v>
      </c>
      <c r="P137" s="39">
        <v>0.23599999999999999</v>
      </c>
      <c r="Q137" s="15">
        <f t="shared" si="5"/>
        <v>-259.44517833553499</v>
      </c>
      <c r="R137" s="15">
        <f t="shared" si="6"/>
        <v>-83220.338983050853</v>
      </c>
      <c r="S137" s="44">
        <f t="shared" si="7"/>
        <v>-1.9104761015392757</v>
      </c>
      <c r="T137" s="39">
        <v>75.7</v>
      </c>
      <c r="U137" s="6" t="s">
        <v>61</v>
      </c>
      <c r="V137" t="s">
        <v>193</v>
      </c>
      <c r="Y137">
        <v>1</v>
      </c>
      <c r="Z137">
        <v>0</v>
      </c>
      <c r="AA137" t="s">
        <v>51</v>
      </c>
      <c r="AC137" s="7" t="s">
        <v>52</v>
      </c>
      <c r="AD137" t="s">
        <v>66</v>
      </c>
    </row>
    <row r="138" spans="1:30" x14ac:dyDescent="0.25">
      <c r="A138" t="s">
        <v>194</v>
      </c>
      <c r="B138" t="s">
        <v>195</v>
      </c>
      <c r="C138" s="25">
        <v>44849</v>
      </c>
      <c r="D138" s="15">
        <v>54000</v>
      </c>
      <c r="E138" t="s">
        <v>86</v>
      </c>
      <c r="F138" t="s">
        <v>47</v>
      </c>
      <c r="G138" s="15">
        <v>54000</v>
      </c>
      <c r="H138" s="15">
        <v>17800</v>
      </c>
      <c r="I138" s="20">
        <f t="shared" si="4"/>
        <v>32.962962962962962</v>
      </c>
      <c r="J138" s="15">
        <v>38145</v>
      </c>
      <c r="K138" s="15">
        <f>G138-34057</f>
        <v>19943</v>
      </c>
      <c r="L138" s="15">
        <v>4088</v>
      </c>
      <c r="M138" s="30">
        <v>54.5</v>
      </c>
      <c r="N138" s="34">
        <v>122.5</v>
      </c>
      <c r="O138" s="39">
        <v>0.153</v>
      </c>
      <c r="P138" s="39">
        <v>0.153</v>
      </c>
      <c r="Q138" s="15">
        <f t="shared" si="5"/>
        <v>365.92660550458714</v>
      </c>
      <c r="R138" s="15">
        <f t="shared" si="6"/>
        <v>130346.40522875817</v>
      </c>
      <c r="S138" s="44">
        <f t="shared" si="7"/>
        <v>2.992341717831914</v>
      </c>
      <c r="T138" s="39">
        <v>54.5</v>
      </c>
      <c r="U138" s="6" t="s">
        <v>61</v>
      </c>
      <c r="V138" t="s">
        <v>196</v>
      </c>
      <c r="Y138">
        <v>1</v>
      </c>
      <c r="Z138">
        <v>1</v>
      </c>
      <c r="AA138" t="s">
        <v>51</v>
      </c>
      <c r="AC138" s="7" t="s">
        <v>52</v>
      </c>
      <c r="AD138" t="s">
        <v>66</v>
      </c>
    </row>
    <row r="139" spans="1:30" x14ac:dyDescent="0.25">
      <c r="A139" t="s">
        <v>197</v>
      </c>
      <c r="B139" t="s">
        <v>198</v>
      </c>
      <c r="C139" s="25">
        <v>44908</v>
      </c>
      <c r="D139" s="15">
        <v>15000</v>
      </c>
      <c r="E139" t="s">
        <v>46</v>
      </c>
      <c r="F139" t="s">
        <v>47</v>
      </c>
      <c r="G139" s="15">
        <v>15000</v>
      </c>
      <c r="H139" s="15">
        <v>16800</v>
      </c>
      <c r="I139" s="20">
        <f t="shared" si="4"/>
        <v>112.00000000000001</v>
      </c>
      <c r="J139" s="15">
        <v>39657</v>
      </c>
      <c r="K139" s="15">
        <f>G139-33919</f>
        <v>-18919</v>
      </c>
      <c r="L139" s="15">
        <v>5738</v>
      </c>
      <c r="M139" s="30">
        <v>76.5</v>
      </c>
      <c r="N139" s="34">
        <v>127.5</v>
      </c>
      <c r="O139" s="39">
        <v>0.224</v>
      </c>
      <c r="P139" s="39">
        <v>0.224</v>
      </c>
      <c r="Q139" s="15">
        <f t="shared" si="5"/>
        <v>-247.30718954248366</v>
      </c>
      <c r="R139" s="15">
        <f t="shared" si="6"/>
        <v>-84459.82142857142</v>
      </c>
      <c r="S139" s="44">
        <f t="shared" si="7"/>
        <v>-1.9389307031352483</v>
      </c>
      <c r="T139" s="39">
        <v>76.5</v>
      </c>
      <c r="U139" s="6" t="s">
        <v>61</v>
      </c>
      <c r="V139" t="s">
        <v>199</v>
      </c>
      <c r="Y139">
        <v>0</v>
      </c>
      <c r="Z139">
        <v>1</v>
      </c>
      <c r="AA139" t="s">
        <v>51</v>
      </c>
      <c r="AC139" s="7" t="s">
        <v>52</v>
      </c>
      <c r="AD139" t="s">
        <v>66</v>
      </c>
    </row>
    <row r="140" spans="1:30" x14ac:dyDescent="0.25">
      <c r="A140" t="s">
        <v>200</v>
      </c>
      <c r="B140" t="s">
        <v>201</v>
      </c>
      <c r="C140" s="25">
        <v>44705</v>
      </c>
      <c r="D140" s="15">
        <v>140000</v>
      </c>
      <c r="E140" t="s">
        <v>46</v>
      </c>
      <c r="F140" t="s">
        <v>47</v>
      </c>
      <c r="G140" s="15">
        <v>140000</v>
      </c>
      <c r="H140" s="15">
        <v>39700</v>
      </c>
      <c r="I140" s="20">
        <f t="shared" si="4"/>
        <v>28.357142857142858</v>
      </c>
      <c r="J140" s="15">
        <v>85525</v>
      </c>
      <c r="K140" s="15">
        <f>G140-77525</f>
        <v>62475</v>
      </c>
      <c r="L140" s="15">
        <v>8000</v>
      </c>
      <c r="M140" s="30">
        <v>80</v>
      </c>
      <c r="N140" s="34">
        <v>144.5</v>
      </c>
      <c r="O140" s="39">
        <v>0.26500000000000001</v>
      </c>
      <c r="P140" s="39">
        <v>0.26500000000000001</v>
      </c>
      <c r="Q140" s="15">
        <f t="shared" si="5"/>
        <v>780.9375</v>
      </c>
      <c r="R140" s="15">
        <f t="shared" si="6"/>
        <v>235754.71698113205</v>
      </c>
      <c r="S140" s="44">
        <f t="shared" si="7"/>
        <v>5.4121835854254376</v>
      </c>
      <c r="T140" s="39">
        <v>80</v>
      </c>
      <c r="U140" s="6" t="s">
        <v>61</v>
      </c>
      <c r="V140" t="s">
        <v>202</v>
      </c>
      <c r="Y140">
        <v>0</v>
      </c>
      <c r="Z140">
        <v>1</v>
      </c>
      <c r="AA140" t="s">
        <v>51</v>
      </c>
      <c r="AC140" s="7" t="s">
        <v>52</v>
      </c>
      <c r="AD140" t="s">
        <v>58</v>
      </c>
    </row>
    <row r="141" spans="1:30" x14ac:dyDescent="0.25">
      <c r="A141" t="s">
        <v>203</v>
      </c>
      <c r="B141" t="s">
        <v>204</v>
      </c>
      <c r="C141" s="25">
        <v>44792</v>
      </c>
      <c r="D141" s="15">
        <v>50000</v>
      </c>
      <c r="E141" t="s">
        <v>46</v>
      </c>
      <c r="F141" t="s">
        <v>47</v>
      </c>
      <c r="G141" s="15">
        <v>50000</v>
      </c>
      <c r="H141" s="15">
        <v>40800</v>
      </c>
      <c r="I141" s="20">
        <f t="shared" si="4"/>
        <v>81.599999999999994</v>
      </c>
      <c r="J141" s="15">
        <v>97407</v>
      </c>
      <c r="K141" s="15">
        <f>G141-89407</f>
        <v>-39407</v>
      </c>
      <c r="L141" s="15">
        <v>8000</v>
      </c>
      <c r="M141" s="30">
        <v>80</v>
      </c>
      <c r="N141" s="34">
        <v>144.5</v>
      </c>
      <c r="O141" s="39">
        <v>0.26500000000000001</v>
      </c>
      <c r="P141" s="39">
        <v>0.26500000000000001</v>
      </c>
      <c r="Q141" s="15">
        <f t="shared" si="5"/>
        <v>-492.58749999999998</v>
      </c>
      <c r="R141" s="15">
        <f t="shared" si="6"/>
        <v>-148705.66037735849</v>
      </c>
      <c r="S141" s="44">
        <f t="shared" si="7"/>
        <v>-3.4138122217024449</v>
      </c>
      <c r="T141" s="39">
        <v>80</v>
      </c>
      <c r="U141" s="6" t="s">
        <v>61</v>
      </c>
      <c r="V141" t="s">
        <v>205</v>
      </c>
      <c r="Y141">
        <v>0</v>
      </c>
      <c r="Z141">
        <v>1</v>
      </c>
      <c r="AA141" t="s">
        <v>51</v>
      </c>
      <c r="AC141" s="7" t="s">
        <v>52</v>
      </c>
      <c r="AD141" t="s">
        <v>58</v>
      </c>
    </row>
    <row r="142" spans="1:30" x14ac:dyDescent="0.25">
      <c r="A142" t="s">
        <v>206</v>
      </c>
      <c r="B142" t="s">
        <v>207</v>
      </c>
      <c r="C142" s="25">
        <v>44749</v>
      </c>
      <c r="D142" s="15">
        <v>100000</v>
      </c>
      <c r="E142" t="s">
        <v>46</v>
      </c>
      <c r="F142" t="s">
        <v>47</v>
      </c>
      <c r="G142" s="15">
        <v>100000</v>
      </c>
      <c r="H142" s="15">
        <v>42400</v>
      </c>
      <c r="I142" s="20">
        <f t="shared" si="4"/>
        <v>42.4</v>
      </c>
      <c r="J142" s="15">
        <v>91567</v>
      </c>
      <c r="K142" s="15">
        <f>G142-82567</f>
        <v>17433</v>
      </c>
      <c r="L142" s="15">
        <v>9000</v>
      </c>
      <c r="M142" s="30">
        <v>90</v>
      </c>
      <c r="N142" s="34">
        <v>144.5</v>
      </c>
      <c r="O142" s="39">
        <v>0.29899999999999999</v>
      </c>
      <c r="P142" s="39">
        <v>0.29899999999999999</v>
      </c>
      <c r="Q142" s="15">
        <f t="shared" si="5"/>
        <v>193.7</v>
      </c>
      <c r="R142" s="15">
        <f t="shared" si="6"/>
        <v>58304.34782608696</v>
      </c>
      <c r="S142" s="44">
        <f t="shared" si="7"/>
        <v>1.3384836507366151</v>
      </c>
      <c r="T142" s="39">
        <v>90</v>
      </c>
      <c r="U142" s="6" t="s">
        <v>61</v>
      </c>
      <c r="V142" t="s">
        <v>208</v>
      </c>
      <c r="Y142">
        <v>0</v>
      </c>
      <c r="Z142">
        <v>1</v>
      </c>
      <c r="AA142" t="s">
        <v>51</v>
      </c>
      <c r="AC142" s="7" t="s">
        <v>52</v>
      </c>
      <c r="AD142" t="s">
        <v>58</v>
      </c>
    </row>
    <row r="143" spans="1:30" x14ac:dyDescent="0.25">
      <c r="A143" t="s">
        <v>209</v>
      </c>
      <c r="B143" t="s">
        <v>210</v>
      </c>
      <c r="C143" s="25">
        <v>45132</v>
      </c>
      <c r="D143" s="15">
        <v>80000</v>
      </c>
      <c r="E143" t="s">
        <v>130</v>
      </c>
      <c r="F143" t="s">
        <v>47</v>
      </c>
      <c r="G143" s="15">
        <v>80000</v>
      </c>
      <c r="H143" s="15">
        <v>36400</v>
      </c>
      <c r="I143" s="20">
        <f t="shared" si="4"/>
        <v>45.5</v>
      </c>
      <c r="J143" s="15">
        <v>76229</v>
      </c>
      <c r="K143" s="15">
        <f>G143-69404</f>
        <v>10596</v>
      </c>
      <c r="L143" s="15">
        <v>6825</v>
      </c>
      <c r="M143" s="30">
        <v>91</v>
      </c>
      <c r="N143" s="34">
        <v>133</v>
      </c>
      <c r="O143" s="39">
        <v>0.27800000000000002</v>
      </c>
      <c r="P143" s="39">
        <v>0.27800000000000002</v>
      </c>
      <c r="Q143" s="15">
        <f t="shared" si="5"/>
        <v>116.43956043956044</v>
      </c>
      <c r="R143" s="15">
        <f t="shared" si="6"/>
        <v>38115.107913669061</v>
      </c>
      <c r="S143" s="44">
        <f t="shared" si="7"/>
        <v>0.87500247735695735</v>
      </c>
      <c r="T143" s="39">
        <v>91</v>
      </c>
      <c r="U143" s="6" t="s">
        <v>61</v>
      </c>
      <c r="V143" t="s">
        <v>211</v>
      </c>
      <c r="Y143">
        <v>0</v>
      </c>
      <c r="Z143">
        <v>1</v>
      </c>
      <c r="AA143" t="s">
        <v>51</v>
      </c>
      <c r="AC143" s="7" t="s">
        <v>52</v>
      </c>
      <c r="AD143" t="s">
        <v>66</v>
      </c>
    </row>
    <row r="144" spans="1:30" x14ac:dyDescent="0.25">
      <c r="A144" t="s">
        <v>212</v>
      </c>
      <c r="B144" t="s">
        <v>213</v>
      </c>
      <c r="C144" s="25">
        <v>44944</v>
      </c>
      <c r="D144" s="15">
        <v>0</v>
      </c>
      <c r="E144" t="s">
        <v>46</v>
      </c>
      <c r="F144" t="s">
        <v>47</v>
      </c>
      <c r="G144" s="15">
        <v>0</v>
      </c>
      <c r="H144" s="15">
        <v>21300</v>
      </c>
      <c r="I144" s="20" t="e">
        <f t="shared" si="4"/>
        <v>#DIV/0!</v>
      </c>
      <c r="J144" s="15">
        <v>50540</v>
      </c>
      <c r="K144" s="15">
        <f>G144-44540</f>
        <v>-44540</v>
      </c>
      <c r="L144" s="15">
        <v>6000</v>
      </c>
      <c r="M144" s="30">
        <v>60</v>
      </c>
      <c r="N144" s="34">
        <v>135</v>
      </c>
      <c r="O144" s="39">
        <v>0.186</v>
      </c>
      <c r="P144" s="39">
        <v>0.186</v>
      </c>
      <c r="Q144" s="15">
        <f t="shared" si="5"/>
        <v>-742.33333333333337</v>
      </c>
      <c r="R144" s="15">
        <f t="shared" si="6"/>
        <v>-239462.36559139786</v>
      </c>
      <c r="S144" s="44">
        <f t="shared" si="7"/>
        <v>-5.4972994855692807</v>
      </c>
      <c r="T144" s="39">
        <v>60</v>
      </c>
      <c r="U144" s="6" t="s">
        <v>61</v>
      </c>
      <c r="V144" t="s">
        <v>214</v>
      </c>
      <c r="Y144">
        <v>0</v>
      </c>
      <c r="Z144">
        <v>1</v>
      </c>
      <c r="AA144" t="s">
        <v>51</v>
      </c>
      <c r="AC144" s="7" t="s">
        <v>52</v>
      </c>
      <c r="AD144" t="s">
        <v>58</v>
      </c>
    </row>
    <row r="145" spans="1:30" x14ac:dyDescent="0.25">
      <c r="A145" t="s">
        <v>215</v>
      </c>
      <c r="B145" t="s">
        <v>216</v>
      </c>
      <c r="C145" s="25">
        <v>45170</v>
      </c>
      <c r="D145" s="15">
        <v>164000</v>
      </c>
      <c r="E145" t="s">
        <v>46</v>
      </c>
      <c r="F145" t="s">
        <v>47</v>
      </c>
      <c r="G145" s="15">
        <v>164000</v>
      </c>
      <c r="H145" s="15">
        <v>36700</v>
      </c>
      <c r="I145" s="20">
        <f t="shared" si="4"/>
        <v>22.378048780487806</v>
      </c>
      <c r="J145" s="15">
        <v>76917</v>
      </c>
      <c r="K145" s="15">
        <f>G145-67917</f>
        <v>96083</v>
      </c>
      <c r="L145" s="15">
        <v>9000</v>
      </c>
      <c r="M145" s="30">
        <v>90</v>
      </c>
      <c r="N145" s="34">
        <v>135</v>
      </c>
      <c r="O145" s="39">
        <v>0.27900000000000003</v>
      </c>
      <c r="P145" s="39">
        <v>0.27900000000000003</v>
      </c>
      <c r="Q145" s="15">
        <f t="shared" si="5"/>
        <v>1067.588888888889</v>
      </c>
      <c r="R145" s="15">
        <f t="shared" si="6"/>
        <v>344383.51254480286</v>
      </c>
      <c r="S145" s="44">
        <f t="shared" si="7"/>
        <v>7.9059575882645285</v>
      </c>
      <c r="T145" s="39">
        <v>90</v>
      </c>
      <c r="U145" s="6" t="s">
        <v>61</v>
      </c>
      <c r="V145" t="s">
        <v>217</v>
      </c>
      <c r="Y145">
        <v>0</v>
      </c>
      <c r="Z145">
        <v>1</v>
      </c>
      <c r="AA145" t="s">
        <v>51</v>
      </c>
      <c r="AC145" s="7" t="s">
        <v>52</v>
      </c>
      <c r="AD145" t="s">
        <v>58</v>
      </c>
    </row>
    <row r="146" spans="1:30" x14ac:dyDescent="0.25">
      <c r="A146" t="s">
        <v>218</v>
      </c>
      <c r="B146" t="s">
        <v>219</v>
      </c>
      <c r="C146" s="25">
        <v>45217</v>
      </c>
      <c r="D146" s="15">
        <v>135000</v>
      </c>
      <c r="E146" t="s">
        <v>46</v>
      </c>
      <c r="F146" t="s">
        <v>47</v>
      </c>
      <c r="G146" s="15">
        <v>135000</v>
      </c>
      <c r="H146" s="15">
        <v>37600</v>
      </c>
      <c r="I146" s="20">
        <f t="shared" si="4"/>
        <v>27.851851851851851</v>
      </c>
      <c r="J146" s="15">
        <v>78485</v>
      </c>
      <c r="K146" s="15">
        <f>G146-69985</f>
        <v>65015</v>
      </c>
      <c r="L146" s="15">
        <v>8500</v>
      </c>
      <c r="M146" s="30">
        <v>85</v>
      </c>
      <c r="N146" s="34">
        <v>137</v>
      </c>
      <c r="O146" s="39">
        <v>0.26700000000000002</v>
      </c>
      <c r="P146" s="39">
        <v>0.26700000000000002</v>
      </c>
      <c r="Q146" s="15">
        <f t="shared" si="5"/>
        <v>764.88235294117646</v>
      </c>
      <c r="R146" s="15">
        <f t="shared" si="6"/>
        <v>243501.87265917601</v>
      </c>
      <c r="S146" s="44">
        <f t="shared" si="7"/>
        <v>5.5900338076027554</v>
      </c>
      <c r="T146" s="39">
        <v>85</v>
      </c>
      <c r="U146" s="6" t="s">
        <v>61</v>
      </c>
      <c r="V146" t="s">
        <v>220</v>
      </c>
      <c r="Y146">
        <v>0</v>
      </c>
      <c r="Z146">
        <v>1</v>
      </c>
      <c r="AA146" t="s">
        <v>51</v>
      </c>
      <c r="AC146" s="7" t="s">
        <v>52</v>
      </c>
      <c r="AD146" t="s">
        <v>58</v>
      </c>
    </row>
    <row r="147" spans="1:30" x14ac:dyDescent="0.25">
      <c r="A147" t="s">
        <v>221</v>
      </c>
      <c r="B147" t="s">
        <v>222</v>
      </c>
      <c r="C147" s="25">
        <v>44900</v>
      </c>
      <c r="D147" s="15">
        <v>32000</v>
      </c>
      <c r="E147" t="s">
        <v>46</v>
      </c>
      <c r="F147" t="s">
        <v>47</v>
      </c>
      <c r="G147" s="15">
        <v>32000</v>
      </c>
      <c r="H147" s="15">
        <v>22300</v>
      </c>
      <c r="I147" s="20">
        <f t="shared" si="4"/>
        <v>69.6875</v>
      </c>
      <c r="J147" s="15">
        <v>53014</v>
      </c>
      <c r="K147" s="15">
        <f>G147-47014</f>
        <v>-15014</v>
      </c>
      <c r="L147" s="15">
        <v>6000</v>
      </c>
      <c r="M147" s="30">
        <v>60</v>
      </c>
      <c r="N147" s="34">
        <v>135</v>
      </c>
      <c r="O147" s="39">
        <v>0.186</v>
      </c>
      <c r="P147" s="39">
        <v>0.186</v>
      </c>
      <c r="Q147" s="15">
        <f t="shared" si="5"/>
        <v>-250.23333333333332</v>
      </c>
      <c r="R147" s="15">
        <f t="shared" si="6"/>
        <v>-80720.430107526889</v>
      </c>
      <c r="S147" s="44">
        <f t="shared" si="7"/>
        <v>-1.8530860906227478</v>
      </c>
      <c r="T147" s="39">
        <v>60</v>
      </c>
      <c r="U147" s="6" t="s">
        <v>61</v>
      </c>
      <c r="V147" t="s">
        <v>223</v>
      </c>
      <c r="Y147">
        <v>0</v>
      </c>
      <c r="Z147">
        <v>1</v>
      </c>
      <c r="AA147" t="s">
        <v>51</v>
      </c>
      <c r="AC147" s="7" t="s">
        <v>52</v>
      </c>
      <c r="AD147" t="s">
        <v>58</v>
      </c>
    </row>
    <row r="148" spans="1:30" x14ac:dyDescent="0.25">
      <c r="A148" t="s">
        <v>224</v>
      </c>
      <c r="B148" t="s">
        <v>225</v>
      </c>
      <c r="C148" s="25">
        <v>44662</v>
      </c>
      <c r="D148" s="15">
        <v>72500</v>
      </c>
      <c r="E148" t="s">
        <v>46</v>
      </c>
      <c r="F148" t="s">
        <v>47</v>
      </c>
      <c r="G148" s="15">
        <v>72500</v>
      </c>
      <c r="H148" s="15">
        <v>22300</v>
      </c>
      <c r="I148" s="20">
        <f t="shared" si="4"/>
        <v>30.758620689655174</v>
      </c>
      <c r="J148" s="15">
        <v>47972</v>
      </c>
      <c r="K148" s="15">
        <f>G148-41972</f>
        <v>30528</v>
      </c>
      <c r="L148" s="15">
        <v>6000</v>
      </c>
      <c r="M148" s="30">
        <v>60</v>
      </c>
      <c r="N148" s="34">
        <v>135</v>
      </c>
      <c r="O148" s="39">
        <v>0.186</v>
      </c>
      <c r="P148" s="39">
        <v>0.186</v>
      </c>
      <c r="Q148" s="15">
        <f t="shared" si="5"/>
        <v>508.8</v>
      </c>
      <c r="R148" s="15">
        <f t="shared" si="6"/>
        <v>164129.03225806452</v>
      </c>
      <c r="S148" s="44">
        <f t="shared" si="7"/>
        <v>3.7678841197902782</v>
      </c>
      <c r="T148" s="39">
        <v>60</v>
      </c>
      <c r="U148" s="6" t="s">
        <v>61</v>
      </c>
      <c r="V148" t="s">
        <v>226</v>
      </c>
      <c r="Y148">
        <v>0</v>
      </c>
      <c r="Z148">
        <v>1</v>
      </c>
      <c r="AA148" t="s">
        <v>51</v>
      </c>
      <c r="AC148" s="7" t="s">
        <v>52</v>
      </c>
      <c r="AD148" t="s">
        <v>58</v>
      </c>
    </row>
    <row r="149" spans="1:30" x14ac:dyDescent="0.25">
      <c r="A149" t="s">
        <v>227</v>
      </c>
      <c r="B149" t="s">
        <v>228</v>
      </c>
      <c r="C149" s="25">
        <v>44840</v>
      </c>
      <c r="D149" s="15">
        <v>97900</v>
      </c>
      <c r="E149" t="s">
        <v>46</v>
      </c>
      <c r="F149" t="s">
        <v>47</v>
      </c>
      <c r="G149" s="15">
        <v>97900</v>
      </c>
      <c r="H149" s="15">
        <v>43100</v>
      </c>
      <c r="I149" s="20">
        <f t="shared" si="4"/>
        <v>44.024514811031665</v>
      </c>
      <c r="J149" s="15">
        <v>92955</v>
      </c>
      <c r="K149" s="15">
        <f>G149-83735</f>
        <v>14165</v>
      </c>
      <c r="L149" s="15">
        <v>9220</v>
      </c>
      <c r="M149" s="30">
        <v>92.2</v>
      </c>
      <c r="N149" s="34">
        <v>132.91999799999999</v>
      </c>
      <c r="O149" s="39">
        <v>0.28100000000000003</v>
      </c>
      <c r="P149" s="39">
        <v>0.28100000000000003</v>
      </c>
      <c r="Q149" s="15">
        <f t="shared" si="5"/>
        <v>153.63340563991324</v>
      </c>
      <c r="R149" s="15">
        <f t="shared" si="6"/>
        <v>50409.252669039139</v>
      </c>
      <c r="S149" s="44">
        <f t="shared" si="7"/>
        <v>1.1572372054416697</v>
      </c>
      <c r="T149" s="39">
        <v>92.2</v>
      </c>
      <c r="U149" s="6" t="s">
        <v>61</v>
      </c>
      <c r="V149" t="s">
        <v>229</v>
      </c>
      <c r="Y149">
        <v>0</v>
      </c>
      <c r="Z149">
        <v>1</v>
      </c>
      <c r="AA149" t="s">
        <v>51</v>
      </c>
      <c r="AC149" s="7" t="s">
        <v>52</v>
      </c>
      <c r="AD149" t="s">
        <v>58</v>
      </c>
    </row>
    <row r="150" spans="1:30" x14ac:dyDescent="0.25">
      <c r="A150" t="s">
        <v>230</v>
      </c>
      <c r="B150" t="s">
        <v>231</v>
      </c>
      <c r="C150" s="25">
        <v>45264</v>
      </c>
      <c r="D150" s="15">
        <v>104000</v>
      </c>
      <c r="E150" t="s">
        <v>46</v>
      </c>
      <c r="F150" t="s">
        <v>47</v>
      </c>
      <c r="G150" s="15">
        <v>104000</v>
      </c>
      <c r="H150" s="15">
        <v>44100</v>
      </c>
      <c r="I150" s="20">
        <f t="shared" si="4"/>
        <v>42.403846153846153</v>
      </c>
      <c r="J150" s="15">
        <v>115050</v>
      </c>
      <c r="K150" s="15">
        <f>G150-106650</f>
        <v>-2650</v>
      </c>
      <c r="L150" s="15">
        <v>8400</v>
      </c>
      <c r="M150" s="30">
        <v>60</v>
      </c>
      <c r="N150" s="34">
        <v>135</v>
      </c>
      <c r="O150" s="39">
        <v>0.186</v>
      </c>
      <c r="P150" s="39">
        <v>0.186</v>
      </c>
      <c r="Q150" s="15">
        <f t="shared" si="5"/>
        <v>-44.166666666666664</v>
      </c>
      <c r="R150" s="15">
        <f t="shared" si="6"/>
        <v>-14247.31182795699</v>
      </c>
      <c r="S150" s="44">
        <f t="shared" si="7"/>
        <v>-0.32707327428735056</v>
      </c>
      <c r="T150" s="39">
        <v>60</v>
      </c>
      <c r="U150" s="6" t="s">
        <v>61</v>
      </c>
      <c r="V150" t="s">
        <v>232</v>
      </c>
      <c r="Y150">
        <v>0</v>
      </c>
      <c r="Z150">
        <v>1</v>
      </c>
      <c r="AA150" t="s">
        <v>51</v>
      </c>
      <c r="AC150" s="7" t="s">
        <v>52</v>
      </c>
      <c r="AD150" t="s">
        <v>58</v>
      </c>
    </row>
    <row r="151" spans="1:30" x14ac:dyDescent="0.25">
      <c r="A151" t="s">
        <v>233</v>
      </c>
      <c r="B151" t="s">
        <v>234</v>
      </c>
      <c r="C151" s="25">
        <v>44935</v>
      </c>
      <c r="D151" s="15">
        <v>59000</v>
      </c>
      <c r="E151" t="s">
        <v>46</v>
      </c>
      <c r="F151" t="s">
        <v>47</v>
      </c>
      <c r="G151" s="15">
        <v>59000</v>
      </c>
      <c r="H151" s="15">
        <v>24000</v>
      </c>
      <c r="I151" s="20">
        <f t="shared" si="4"/>
        <v>40.677966101694921</v>
      </c>
      <c r="J151" s="15">
        <v>57141</v>
      </c>
      <c r="K151" s="15">
        <f>G151-51141</f>
        <v>7859</v>
      </c>
      <c r="L151" s="15">
        <v>6000</v>
      </c>
      <c r="M151" s="30">
        <v>60</v>
      </c>
      <c r="N151" s="34">
        <v>135</v>
      </c>
      <c r="O151" s="39">
        <v>0.186</v>
      </c>
      <c r="P151" s="39">
        <v>0.186</v>
      </c>
      <c r="Q151" s="15">
        <f t="shared" si="5"/>
        <v>130.98333333333332</v>
      </c>
      <c r="R151" s="15">
        <f t="shared" si="6"/>
        <v>42252.68817204301</v>
      </c>
      <c r="S151" s="44">
        <f t="shared" si="7"/>
        <v>0.96998825004690103</v>
      </c>
      <c r="T151" s="39">
        <v>60</v>
      </c>
      <c r="U151" s="6" t="s">
        <v>61</v>
      </c>
      <c r="V151" t="s">
        <v>235</v>
      </c>
      <c r="Y151">
        <v>0</v>
      </c>
      <c r="Z151">
        <v>1</v>
      </c>
      <c r="AA151" t="s">
        <v>51</v>
      </c>
      <c r="AC151" s="7" t="s">
        <v>52</v>
      </c>
      <c r="AD151" t="s">
        <v>58</v>
      </c>
    </row>
    <row r="152" spans="1:30" x14ac:dyDescent="0.25">
      <c r="A152" t="s">
        <v>236</v>
      </c>
      <c r="B152" t="s">
        <v>237</v>
      </c>
      <c r="C152" s="25">
        <v>44797</v>
      </c>
      <c r="D152" s="15">
        <v>8200</v>
      </c>
      <c r="E152" t="s">
        <v>46</v>
      </c>
      <c r="F152" t="s">
        <v>47</v>
      </c>
      <c r="G152" s="15">
        <v>8200</v>
      </c>
      <c r="H152" s="15">
        <v>12300</v>
      </c>
      <c r="I152" s="20">
        <f t="shared" si="4"/>
        <v>150</v>
      </c>
      <c r="J152" s="15">
        <v>26652</v>
      </c>
      <c r="K152" s="15">
        <f>G152-21750</f>
        <v>-13550</v>
      </c>
      <c r="L152" s="15">
        <v>4902</v>
      </c>
      <c r="M152" s="30">
        <v>64.5</v>
      </c>
      <c r="N152" s="34">
        <v>75</v>
      </c>
      <c r="O152" s="39">
        <v>0.111</v>
      </c>
      <c r="P152" s="39">
        <v>0.111</v>
      </c>
      <c r="Q152" s="15">
        <f t="shared" si="5"/>
        <v>-210.07751937984497</v>
      </c>
      <c r="R152" s="15">
        <f t="shared" si="6"/>
        <v>-122072.07207207207</v>
      </c>
      <c r="S152" s="44">
        <f t="shared" si="7"/>
        <v>-2.8023891660255296</v>
      </c>
      <c r="T152" s="39">
        <v>64.5</v>
      </c>
      <c r="U152" s="6" t="s">
        <v>61</v>
      </c>
      <c r="V152" t="s">
        <v>238</v>
      </c>
      <c r="Y152">
        <v>0</v>
      </c>
      <c r="Z152">
        <v>1</v>
      </c>
      <c r="AA152" t="s">
        <v>51</v>
      </c>
      <c r="AC152" s="7" t="s">
        <v>52</v>
      </c>
      <c r="AD152" t="s">
        <v>58</v>
      </c>
    </row>
    <row r="153" spans="1:30" x14ac:dyDescent="0.25">
      <c r="A153" t="s">
        <v>239</v>
      </c>
      <c r="B153" t="s">
        <v>240</v>
      </c>
      <c r="C153" s="25">
        <v>44697</v>
      </c>
      <c r="D153" s="15">
        <v>77000</v>
      </c>
      <c r="E153" t="s">
        <v>46</v>
      </c>
      <c r="F153" t="s">
        <v>47</v>
      </c>
      <c r="G153" s="15">
        <v>77000</v>
      </c>
      <c r="H153" s="15">
        <v>29700</v>
      </c>
      <c r="I153" s="20">
        <f t="shared" si="4"/>
        <v>38.571428571428577</v>
      </c>
      <c r="J153" s="15">
        <v>63942</v>
      </c>
      <c r="K153" s="15">
        <f>G153-57942</f>
        <v>19058</v>
      </c>
      <c r="L153" s="15">
        <v>6000</v>
      </c>
      <c r="M153" s="30">
        <v>60</v>
      </c>
      <c r="N153" s="34">
        <v>135</v>
      </c>
      <c r="O153" s="39">
        <v>0.186</v>
      </c>
      <c r="P153" s="39">
        <v>0.186</v>
      </c>
      <c r="Q153" s="15">
        <f t="shared" si="5"/>
        <v>317.63333333333333</v>
      </c>
      <c r="R153" s="15">
        <f t="shared" si="6"/>
        <v>102462.36559139784</v>
      </c>
      <c r="S153" s="44">
        <f t="shared" si="7"/>
        <v>2.3522122495729532</v>
      </c>
      <c r="T153" s="39">
        <v>60</v>
      </c>
      <c r="U153" s="6" t="s">
        <v>61</v>
      </c>
      <c r="V153" t="s">
        <v>241</v>
      </c>
      <c r="Y153">
        <v>0</v>
      </c>
      <c r="Z153">
        <v>1</v>
      </c>
      <c r="AA153" t="s">
        <v>51</v>
      </c>
      <c r="AC153" s="7" t="s">
        <v>52</v>
      </c>
      <c r="AD153" t="s">
        <v>58</v>
      </c>
    </row>
    <row r="154" spans="1:30" x14ac:dyDescent="0.25">
      <c r="A154" t="s">
        <v>242</v>
      </c>
      <c r="B154" t="s">
        <v>243</v>
      </c>
      <c r="C154" s="25">
        <v>45146</v>
      </c>
      <c r="D154" s="15">
        <v>89900</v>
      </c>
      <c r="E154" t="s">
        <v>46</v>
      </c>
      <c r="F154" t="s">
        <v>47</v>
      </c>
      <c r="G154" s="15">
        <v>89900</v>
      </c>
      <c r="H154" s="15">
        <v>27700</v>
      </c>
      <c r="I154" s="20">
        <f t="shared" si="4"/>
        <v>30.81201334816463</v>
      </c>
      <c r="J154" s="15">
        <v>57433</v>
      </c>
      <c r="K154" s="15">
        <f>G154-51433</f>
        <v>38467</v>
      </c>
      <c r="L154" s="15">
        <v>6000</v>
      </c>
      <c r="M154" s="30">
        <v>60</v>
      </c>
      <c r="N154" s="34">
        <v>135</v>
      </c>
      <c r="O154" s="39">
        <v>0.186</v>
      </c>
      <c r="P154" s="39">
        <v>0.186</v>
      </c>
      <c r="Q154" s="15">
        <f t="shared" si="5"/>
        <v>641.11666666666667</v>
      </c>
      <c r="R154" s="15">
        <f t="shared" si="6"/>
        <v>206811.82795698926</v>
      </c>
      <c r="S154" s="44">
        <f t="shared" si="7"/>
        <v>4.7477462800043453</v>
      </c>
      <c r="T154" s="39">
        <v>60</v>
      </c>
      <c r="U154" s="6" t="s">
        <v>48</v>
      </c>
      <c r="V154" t="s">
        <v>244</v>
      </c>
      <c r="Y154">
        <v>0</v>
      </c>
      <c r="Z154">
        <v>1</v>
      </c>
      <c r="AA154" t="s">
        <v>51</v>
      </c>
      <c r="AC154" s="7" t="s">
        <v>52</v>
      </c>
      <c r="AD154" t="s">
        <v>58</v>
      </c>
    </row>
    <row r="155" spans="1:30" x14ac:dyDescent="0.25">
      <c r="A155" t="s">
        <v>245</v>
      </c>
      <c r="B155" t="s">
        <v>246</v>
      </c>
      <c r="C155" s="25">
        <v>44876</v>
      </c>
      <c r="D155" s="15">
        <v>99900</v>
      </c>
      <c r="E155" t="s">
        <v>46</v>
      </c>
      <c r="F155" t="s">
        <v>47</v>
      </c>
      <c r="G155" s="15">
        <v>99900</v>
      </c>
      <c r="H155" s="15">
        <v>49800</v>
      </c>
      <c r="I155" s="20">
        <f t="shared" si="4"/>
        <v>49.849849849849846</v>
      </c>
      <c r="J155" s="15">
        <v>117908</v>
      </c>
      <c r="K155" s="15">
        <f>G155-96062</f>
        <v>3838</v>
      </c>
      <c r="L155" s="15">
        <v>21846</v>
      </c>
      <c r="M155" s="30">
        <v>145.63999999999999</v>
      </c>
      <c r="N155" s="34">
        <v>135</v>
      </c>
      <c r="O155" s="39">
        <v>0.45100000000000001</v>
      </c>
      <c r="P155" s="39">
        <v>0.45100000000000001</v>
      </c>
      <c r="Q155" s="15">
        <f t="shared" si="5"/>
        <v>26.352650370777262</v>
      </c>
      <c r="R155" s="15">
        <f t="shared" si="6"/>
        <v>8509.9778270509978</v>
      </c>
      <c r="S155" s="44">
        <f t="shared" si="7"/>
        <v>0.19536220906912299</v>
      </c>
      <c r="T155" s="39">
        <v>145.63999999999999</v>
      </c>
      <c r="U155" s="6" t="s">
        <v>61</v>
      </c>
      <c r="V155" t="s">
        <v>247</v>
      </c>
      <c r="Y155">
        <v>0</v>
      </c>
      <c r="Z155">
        <v>1</v>
      </c>
      <c r="AA155" t="s">
        <v>51</v>
      </c>
      <c r="AC155" s="7" t="s">
        <v>52</v>
      </c>
      <c r="AD155" t="s">
        <v>248</v>
      </c>
    </row>
    <row r="156" spans="1:30" x14ac:dyDescent="0.25">
      <c r="A156" t="s">
        <v>249</v>
      </c>
      <c r="B156" t="s">
        <v>250</v>
      </c>
      <c r="C156" s="25">
        <v>44718</v>
      </c>
      <c r="D156" s="15">
        <v>99000</v>
      </c>
      <c r="E156" t="s">
        <v>46</v>
      </c>
      <c r="F156" t="s">
        <v>47</v>
      </c>
      <c r="G156" s="15">
        <v>99000</v>
      </c>
      <c r="H156" s="15">
        <v>47500</v>
      </c>
      <c r="I156" s="20">
        <f t="shared" ref="I156:I187" si="8">H156/G156*100</f>
        <v>47.979797979797979</v>
      </c>
      <c r="J156" s="15">
        <v>102431</v>
      </c>
      <c r="K156" s="15">
        <f>G156-94931</f>
        <v>4069</v>
      </c>
      <c r="L156" s="15">
        <v>7500</v>
      </c>
      <c r="M156" s="30">
        <v>75</v>
      </c>
      <c r="N156" s="34">
        <v>135</v>
      </c>
      <c r="O156" s="39">
        <v>0.23200000000000001</v>
      </c>
      <c r="P156" s="39">
        <v>0.23200000000000001</v>
      </c>
      <c r="Q156" s="15">
        <f t="shared" ref="Q156:Q174" si="9">K156/M156</f>
        <v>54.25333333333333</v>
      </c>
      <c r="R156" s="15">
        <f t="shared" ref="R156:R174" si="10">K156/O156</f>
        <v>17538.793103448275</v>
      </c>
      <c r="S156" s="44">
        <f t="shared" ref="S156:S174" si="11">K156/O156/43560</f>
        <v>0.40263528703967572</v>
      </c>
      <c r="T156" s="39">
        <v>75</v>
      </c>
      <c r="U156" s="6" t="s">
        <v>61</v>
      </c>
      <c r="V156" t="s">
        <v>251</v>
      </c>
      <c r="Y156">
        <v>0</v>
      </c>
      <c r="Z156">
        <v>1</v>
      </c>
      <c r="AA156" t="s">
        <v>51</v>
      </c>
      <c r="AC156" s="7" t="s">
        <v>52</v>
      </c>
      <c r="AD156" t="s">
        <v>58</v>
      </c>
    </row>
    <row r="157" spans="1:30" x14ac:dyDescent="0.25">
      <c r="A157" t="s">
        <v>252</v>
      </c>
      <c r="B157" t="s">
        <v>253</v>
      </c>
      <c r="C157" s="25">
        <v>44819</v>
      </c>
      <c r="D157" s="15">
        <v>24000</v>
      </c>
      <c r="E157" t="s">
        <v>46</v>
      </c>
      <c r="F157" t="s">
        <v>47</v>
      </c>
      <c r="G157" s="15">
        <v>24000</v>
      </c>
      <c r="H157" s="15">
        <v>30000</v>
      </c>
      <c r="I157" s="20">
        <f t="shared" si="8"/>
        <v>125</v>
      </c>
      <c r="J157" s="15">
        <v>64270</v>
      </c>
      <c r="K157" s="15">
        <f>G157-56770</f>
        <v>-32770</v>
      </c>
      <c r="L157" s="15">
        <v>7500</v>
      </c>
      <c r="M157" s="30">
        <v>75</v>
      </c>
      <c r="N157" s="34">
        <v>128</v>
      </c>
      <c r="O157" s="39">
        <v>0.22</v>
      </c>
      <c r="P157" s="39">
        <v>0.22</v>
      </c>
      <c r="Q157" s="15">
        <f t="shared" si="9"/>
        <v>-436.93333333333334</v>
      </c>
      <c r="R157" s="15">
        <f t="shared" si="10"/>
        <v>-148954.54545454544</v>
      </c>
      <c r="S157" s="44">
        <f t="shared" si="11"/>
        <v>-3.4195258368812085</v>
      </c>
      <c r="T157" s="39">
        <v>75</v>
      </c>
      <c r="U157" s="6" t="s">
        <v>61</v>
      </c>
      <c r="V157" t="s">
        <v>254</v>
      </c>
      <c r="Y157">
        <v>0</v>
      </c>
      <c r="Z157">
        <v>1</v>
      </c>
      <c r="AA157" t="s">
        <v>51</v>
      </c>
      <c r="AC157" s="7" t="s">
        <v>52</v>
      </c>
      <c r="AD157" t="s">
        <v>58</v>
      </c>
    </row>
    <row r="158" spans="1:30" x14ac:dyDescent="0.25">
      <c r="A158" t="s">
        <v>255</v>
      </c>
      <c r="B158" t="s">
        <v>256</v>
      </c>
      <c r="C158" s="25">
        <v>44735</v>
      </c>
      <c r="D158" s="15">
        <v>20000</v>
      </c>
      <c r="E158" t="s">
        <v>46</v>
      </c>
      <c r="F158" t="s">
        <v>47</v>
      </c>
      <c r="G158" s="15">
        <v>20000</v>
      </c>
      <c r="H158" s="15">
        <v>16700</v>
      </c>
      <c r="I158" s="20">
        <f t="shared" si="8"/>
        <v>83.5</v>
      </c>
      <c r="J158" s="15">
        <v>36351</v>
      </c>
      <c r="K158" s="15">
        <f>G158-31251</f>
        <v>-11251</v>
      </c>
      <c r="L158" s="15">
        <v>5100</v>
      </c>
      <c r="M158" s="30">
        <v>51</v>
      </c>
      <c r="N158" s="34">
        <v>65.5</v>
      </c>
      <c r="O158" s="39">
        <v>0.113</v>
      </c>
      <c r="P158" s="39">
        <v>7.6999999999999999E-2</v>
      </c>
      <c r="Q158" s="15">
        <f t="shared" si="9"/>
        <v>-220.60784313725489</v>
      </c>
      <c r="R158" s="15">
        <f t="shared" si="10"/>
        <v>-99566.371681415927</v>
      </c>
      <c r="S158" s="44">
        <f t="shared" si="11"/>
        <v>-2.2857293774429737</v>
      </c>
      <c r="T158" s="39">
        <v>51</v>
      </c>
      <c r="U158" s="6" t="s">
        <v>61</v>
      </c>
      <c r="V158" t="s">
        <v>257</v>
      </c>
      <c r="Y158">
        <v>0</v>
      </c>
      <c r="Z158">
        <v>1</v>
      </c>
      <c r="AA158" t="s">
        <v>51</v>
      </c>
      <c r="AC158" s="7" t="s">
        <v>52</v>
      </c>
      <c r="AD158" t="s">
        <v>58</v>
      </c>
    </row>
    <row r="159" spans="1:30" x14ac:dyDescent="0.25">
      <c r="A159" t="s">
        <v>258</v>
      </c>
      <c r="B159" t="s">
        <v>259</v>
      </c>
      <c r="C159" s="25">
        <v>45037</v>
      </c>
      <c r="D159" s="15">
        <v>35000</v>
      </c>
      <c r="E159" t="s">
        <v>46</v>
      </c>
      <c r="F159" t="s">
        <v>47</v>
      </c>
      <c r="G159" s="15">
        <v>35000</v>
      </c>
      <c r="H159" s="15">
        <v>19600</v>
      </c>
      <c r="I159" s="20">
        <f t="shared" si="8"/>
        <v>56.000000000000007</v>
      </c>
      <c r="J159" s="15">
        <v>40960</v>
      </c>
      <c r="K159" s="15">
        <f>G159-34885</f>
        <v>115</v>
      </c>
      <c r="L159" s="15">
        <v>6075</v>
      </c>
      <c r="M159" s="30">
        <v>60.75</v>
      </c>
      <c r="N159" s="34">
        <v>83</v>
      </c>
      <c r="O159" s="39">
        <v>0.14299999999999999</v>
      </c>
      <c r="P159" s="39">
        <v>0.11600000000000001</v>
      </c>
      <c r="Q159" s="15">
        <f t="shared" si="9"/>
        <v>1.8930041152263375</v>
      </c>
      <c r="R159" s="15">
        <f t="shared" si="10"/>
        <v>804.19580419580427</v>
      </c>
      <c r="S159" s="44">
        <f t="shared" si="11"/>
        <v>1.8461795321299455E-2</v>
      </c>
      <c r="T159" s="39">
        <v>60.75</v>
      </c>
      <c r="U159" s="6" t="s">
        <v>61</v>
      </c>
      <c r="V159" t="s">
        <v>260</v>
      </c>
      <c r="Y159">
        <v>0</v>
      </c>
      <c r="Z159">
        <v>1</v>
      </c>
      <c r="AA159" t="s">
        <v>51</v>
      </c>
      <c r="AC159" s="7" t="s">
        <v>52</v>
      </c>
      <c r="AD159" t="s">
        <v>58</v>
      </c>
    </row>
    <row r="160" spans="1:30" x14ac:dyDescent="0.25">
      <c r="A160" t="s">
        <v>261</v>
      </c>
      <c r="B160" t="s">
        <v>262</v>
      </c>
      <c r="C160" s="25">
        <v>45205</v>
      </c>
      <c r="D160" s="15">
        <v>126000</v>
      </c>
      <c r="E160" t="s">
        <v>46</v>
      </c>
      <c r="F160" t="s">
        <v>47</v>
      </c>
      <c r="G160" s="15">
        <v>126000</v>
      </c>
      <c r="H160" s="15">
        <v>41100</v>
      </c>
      <c r="I160" s="20">
        <f t="shared" si="8"/>
        <v>32.61904761904762</v>
      </c>
      <c r="J160" s="15">
        <v>86293</v>
      </c>
      <c r="K160" s="15">
        <f>G160-77293</f>
        <v>48707</v>
      </c>
      <c r="L160" s="15">
        <v>9000</v>
      </c>
      <c r="M160" s="30">
        <v>90</v>
      </c>
      <c r="N160" s="34">
        <v>131</v>
      </c>
      <c r="O160" s="39">
        <v>0.27100000000000002</v>
      </c>
      <c r="P160" s="39">
        <v>0.27100000000000002</v>
      </c>
      <c r="Q160" s="15">
        <f t="shared" si="9"/>
        <v>541.18888888888887</v>
      </c>
      <c r="R160" s="15">
        <f t="shared" si="10"/>
        <v>179730.62730627306</v>
      </c>
      <c r="S160" s="44">
        <f t="shared" si="11"/>
        <v>4.126047458821696</v>
      </c>
      <c r="T160" s="39">
        <v>90</v>
      </c>
      <c r="U160" s="6" t="s">
        <v>61</v>
      </c>
      <c r="V160" t="s">
        <v>263</v>
      </c>
      <c r="Y160">
        <v>0</v>
      </c>
      <c r="Z160">
        <v>1</v>
      </c>
      <c r="AA160" t="s">
        <v>51</v>
      </c>
      <c r="AC160" s="7" t="s">
        <v>52</v>
      </c>
      <c r="AD160" t="s">
        <v>58</v>
      </c>
    </row>
    <row r="161" spans="1:30" x14ac:dyDescent="0.25">
      <c r="A161" t="s">
        <v>264</v>
      </c>
      <c r="B161" t="s">
        <v>265</v>
      </c>
      <c r="C161" s="25">
        <v>44867</v>
      </c>
      <c r="D161" s="15">
        <v>59900</v>
      </c>
      <c r="E161" t="s">
        <v>46</v>
      </c>
      <c r="F161" t="s">
        <v>47</v>
      </c>
      <c r="G161" s="15">
        <v>59900</v>
      </c>
      <c r="H161" s="15">
        <v>14800</v>
      </c>
      <c r="I161" s="20">
        <f t="shared" si="8"/>
        <v>24.707846410684475</v>
      </c>
      <c r="J161" s="15">
        <v>34952</v>
      </c>
      <c r="K161" s="15">
        <f>G161-28502</f>
        <v>31398</v>
      </c>
      <c r="L161" s="15">
        <v>6450</v>
      </c>
      <c r="M161" s="30">
        <v>64.5</v>
      </c>
      <c r="N161" s="34">
        <v>131</v>
      </c>
      <c r="O161" s="39">
        <v>0.19400000000000001</v>
      </c>
      <c r="P161" s="39">
        <v>0.19400000000000001</v>
      </c>
      <c r="Q161" s="15">
        <f t="shared" si="9"/>
        <v>486.7906976744186</v>
      </c>
      <c r="R161" s="15">
        <f t="shared" si="10"/>
        <v>161845.36082474227</v>
      </c>
      <c r="S161" s="44">
        <f t="shared" si="11"/>
        <v>3.7154582374826051</v>
      </c>
      <c r="T161" s="39">
        <v>64.5</v>
      </c>
      <c r="U161" s="6" t="s">
        <v>61</v>
      </c>
      <c r="V161" t="s">
        <v>266</v>
      </c>
      <c r="Y161">
        <v>0</v>
      </c>
      <c r="Z161">
        <v>1</v>
      </c>
      <c r="AA161" t="s">
        <v>51</v>
      </c>
      <c r="AC161" s="7" t="s">
        <v>52</v>
      </c>
      <c r="AD161" t="s">
        <v>58</v>
      </c>
    </row>
    <row r="162" spans="1:30" x14ac:dyDescent="0.25">
      <c r="A162" t="s">
        <v>267</v>
      </c>
      <c r="B162" t="s">
        <v>268</v>
      </c>
      <c r="C162" s="25">
        <v>45245</v>
      </c>
      <c r="D162" s="15">
        <v>35000</v>
      </c>
      <c r="E162" t="s">
        <v>130</v>
      </c>
      <c r="F162" t="s">
        <v>47</v>
      </c>
      <c r="G162" s="15">
        <v>35000</v>
      </c>
      <c r="H162" s="15">
        <v>27700</v>
      </c>
      <c r="I162" s="20">
        <f t="shared" si="8"/>
        <v>79.142857142857153</v>
      </c>
      <c r="J162" s="15">
        <v>72177</v>
      </c>
      <c r="K162" s="15">
        <f>G162-65177</f>
        <v>-30177</v>
      </c>
      <c r="L162" s="15">
        <v>7000</v>
      </c>
      <c r="M162" s="30">
        <v>50</v>
      </c>
      <c r="N162" s="34">
        <v>131</v>
      </c>
      <c r="O162" s="39">
        <v>0.15</v>
      </c>
      <c r="P162" s="39">
        <v>0.15</v>
      </c>
      <c r="Q162" s="15">
        <f t="shared" si="9"/>
        <v>-603.54</v>
      </c>
      <c r="R162" s="15">
        <f t="shared" si="10"/>
        <v>-201180</v>
      </c>
      <c r="S162" s="44">
        <f t="shared" si="11"/>
        <v>-4.6184573002754821</v>
      </c>
      <c r="T162" s="39">
        <v>50</v>
      </c>
      <c r="U162" s="6" t="s">
        <v>61</v>
      </c>
      <c r="V162" t="s">
        <v>269</v>
      </c>
      <c r="Y162">
        <v>0</v>
      </c>
      <c r="Z162">
        <v>1</v>
      </c>
      <c r="AA162" t="s">
        <v>51</v>
      </c>
      <c r="AC162" s="7" t="s">
        <v>52</v>
      </c>
      <c r="AD162" t="s">
        <v>58</v>
      </c>
    </row>
    <row r="163" spans="1:30" x14ac:dyDescent="0.25">
      <c r="A163" t="s">
        <v>270</v>
      </c>
      <c r="B163" t="s">
        <v>271</v>
      </c>
      <c r="C163" s="25">
        <v>45068</v>
      </c>
      <c r="D163" s="15">
        <v>73000</v>
      </c>
      <c r="E163" t="s">
        <v>46</v>
      </c>
      <c r="F163" t="s">
        <v>47</v>
      </c>
      <c r="G163" s="15">
        <v>73000</v>
      </c>
      <c r="H163" s="15">
        <v>31100</v>
      </c>
      <c r="I163" s="20">
        <f t="shared" si="8"/>
        <v>42.602739726027401</v>
      </c>
      <c r="J163" s="15">
        <v>65134</v>
      </c>
      <c r="K163" s="15">
        <f>G163-60134</f>
        <v>12866</v>
      </c>
      <c r="L163" s="15">
        <v>5000</v>
      </c>
      <c r="M163" s="30">
        <v>50</v>
      </c>
      <c r="N163" s="34">
        <v>131</v>
      </c>
      <c r="O163" s="39">
        <v>0.15</v>
      </c>
      <c r="P163" s="39">
        <v>0.15</v>
      </c>
      <c r="Q163" s="15">
        <f t="shared" si="9"/>
        <v>257.32</v>
      </c>
      <c r="R163" s="15">
        <f t="shared" si="10"/>
        <v>85773.333333333343</v>
      </c>
      <c r="S163" s="44">
        <f t="shared" si="11"/>
        <v>1.9690847872666057</v>
      </c>
      <c r="T163" s="39">
        <v>50</v>
      </c>
      <c r="U163" s="6" t="s">
        <v>61</v>
      </c>
      <c r="V163" t="s">
        <v>272</v>
      </c>
      <c r="Y163">
        <v>0</v>
      </c>
      <c r="Z163">
        <v>1</v>
      </c>
      <c r="AA163" t="s">
        <v>51</v>
      </c>
      <c r="AC163" s="7" t="s">
        <v>52</v>
      </c>
      <c r="AD163" t="s">
        <v>58</v>
      </c>
    </row>
    <row r="164" spans="1:30" x14ac:dyDescent="0.25">
      <c r="A164" t="s">
        <v>273</v>
      </c>
      <c r="B164" t="s">
        <v>274</v>
      </c>
      <c r="C164" s="25">
        <v>44771</v>
      </c>
      <c r="D164" s="15">
        <v>100000</v>
      </c>
      <c r="E164" t="s">
        <v>46</v>
      </c>
      <c r="F164" t="s">
        <v>47</v>
      </c>
      <c r="G164" s="15">
        <v>100000</v>
      </c>
      <c r="H164" s="15">
        <v>30300</v>
      </c>
      <c r="I164" s="20">
        <f t="shared" si="8"/>
        <v>30.3</v>
      </c>
      <c r="J164" s="15">
        <v>65506</v>
      </c>
      <c r="K164" s="15">
        <f>G164-59506</f>
        <v>40494</v>
      </c>
      <c r="L164" s="15">
        <v>6000</v>
      </c>
      <c r="M164" s="30">
        <v>60</v>
      </c>
      <c r="N164" s="34">
        <v>131</v>
      </c>
      <c r="O164" s="39">
        <v>0.18</v>
      </c>
      <c r="P164" s="39">
        <v>0.18</v>
      </c>
      <c r="Q164" s="15">
        <f t="shared" si="9"/>
        <v>674.9</v>
      </c>
      <c r="R164" s="15">
        <f t="shared" si="10"/>
        <v>224966.66666666669</v>
      </c>
      <c r="S164" s="44">
        <f t="shared" si="11"/>
        <v>5.1645240281603924</v>
      </c>
      <c r="T164" s="39">
        <v>60</v>
      </c>
      <c r="U164" s="6" t="s">
        <v>61</v>
      </c>
      <c r="V164" t="s">
        <v>275</v>
      </c>
      <c r="Y164">
        <v>0</v>
      </c>
      <c r="Z164">
        <v>1</v>
      </c>
      <c r="AA164" t="s">
        <v>51</v>
      </c>
      <c r="AC164" s="7" t="s">
        <v>52</v>
      </c>
      <c r="AD164" t="s">
        <v>58</v>
      </c>
    </row>
    <row r="165" spans="1:30" x14ac:dyDescent="0.25">
      <c r="A165" t="s">
        <v>276</v>
      </c>
      <c r="B165" t="s">
        <v>277</v>
      </c>
      <c r="C165" s="25">
        <v>45226</v>
      </c>
      <c r="D165" s="15">
        <v>89900</v>
      </c>
      <c r="E165" t="s">
        <v>46</v>
      </c>
      <c r="F165" t="s">
        <v>47</v>
      </c>
      <c r="G165" s="15">
        <v>89900</v>
      </c>
      <c r="H165" s="15">
        <v>28800</v>
      </c>
      <c r="I165" s="20">
        <f t="shared" si="8"/>
        <v>32.035595105672968</v>
      </c>
      <c r="J165" s="15">
        <v>60296</v>
      </c>
      <c r="K165" s="15">
        <f>G165-54296</f>
        <v>35604</v>
      </c>
      <c r="L165" s="15">
        <v>6000</v>
      </c>
      <c r="M165" s="30">
        <v>60</v>
      </c>
      <c r="N165" s="34">
        <v>131</v>
      </c>
      <c r="O165" s="39">
        <v>0.18</v>
      </c>
      <c r="P165" s="39">
        <v>0.18</v>
      </c>
      <c r="Q165" s="15">
        <f t="shared" si="9"/>
        <v>593.4</v>
      </c>
      <c r="R165" s="15">
        <f t="shared" si="10"/>
        <v>197800</v>
      </c>
      <c r="S165" s="44">
        <f t="shared" si="11"/>
        <v>4.5408631772268135</v>
      </c>
      <c r="T165" s="39">
        <v>60</v>
      </c>
      <c r="U165" s="6" t="s">
        <v>61</v>
      </c>
      <c r="V165" t="s">
        <v>278</v>
      </c>
      <c r="Y165">
        <v>0</v>
      </c>
      <c r="Z165">
        <v>1</v>
      </c>
      <c r="AA165" t="s">
        <v>51</v>
      </c>
      <c r="AC165" s="7" t="s">
        <v>52</v>
      </c>
      <c r="AD165" t="s">
        <v>58</v>
      </c>
    </row>
    <row r="166" spans="1:30" x14ac:dyDescent="0.25">
      <c r="A166" t="s">
        <v>279</v>
      </c>
      <c r="B166" t="s">
        <v>280</v>
      </c>
      <c r="C166" s="25">
        <v>45153</v>
      </c>
      <c r="D166" s="15">
        <v>90000</v>
      </c>
      <c r="E166" t="s">
        <v>46</v>
      </c>
      <c r="F166" t="s">
        <v>47</v>
      </c>
      <c r="G166" s="15">
        <v>90000</v>
      </c>
      <c r="H166" s="15">
        <v>45000</v>
      </c>
      <c r="I166" s="20">
        <f t="shared" si="8"/>
        <v>50</v>
      </c>
      <c r="J166" s="15">
        <v>94632</v>
      </c>
      <c r="K166" s="15">
        <f>G166-85632</f>
        <v>4368</v>
      </c>
      <c r="L166" s="15">
        <v>9000</v>
      </c>
      <c r="M166" s="30">
        <v>90</v>
      </c>
      <c r="N166" s="34">
        <v>131</v>
      </c>
      <c r="O166" s="39">
        <v>0.27100000000000002</v>
      </c>
      <c r="P166" s="39">
        <v>0.27100000000000002</v>
      </c>
      <c r="Q166" s="15">
        <f t="shared" si="9"/>
        <v>48.533333333333331</v>
      </c>
      <c r="R166" s="15">
        <f t="shared" si="10"/>
        <v>16118.081180811807</v>
      </c>
      <c r="S166" s="44">
        <f t="shared" si="11"/>
        <v>0.3700202291279111</v>
      </c>
      <c r="T166" s="39">
        <v>90</v>
      </c>
      <c r="U166" s="6" t="s">
        <v>61</v>
      </c>
      <c r="V166" t="s">
        <v>281</v>
      </c>
      <c r="Y166">
        <v>0</v>
      </c>
      <c r="Z166">
        <v>1</v>
      </c>
      <c r="AA166" t="s">
        <v>51</v>
      </c>
      <c r="AC166" s="7" t="s">
        <v>52</v>
      </c>
      <c r="AD166" t="s">
        <v>58</v>
      </c>
    </row>
    <row r="167" spans="1:30" x14ac:dyDescent="0.25">
      <c r="A167" t="s">
        <v>282</v>
      </c>
      <c r="B167" t="s">
        <v>283</v>
      </c>
      <c r="C167" s="25">
        <v>45352</v>
      </c>
      <c r="D167" s="15">
        <v>90000</v>
      </c>
      <c r="E167" t="s">
        <v>46</v>
      </c>
      <c r="F167" t="s">
        <v>47</v>
      </c>
      <c r="G167" s="15">
        <v>90000</v>
      </c>
      <c r="H167" s="15">
        <v>35700</v>
      </c>
      <c r="I167" s="20">
        <f t="shared" si="8"/>
        <v>39.666666666666664</v>
      </c>
      <c r="J167" s="15">
        <v>92832</v>
      </c>
      <c r="K167" s="15">
        <f>G167-84432</f>
        <v>5568</v>
      </c>
      <c r="L167" s="15">
        <v>8400</v>
      </c>
      <c r="M167" s="30">
        <v>60</v>
      </c>
      <c r="N167" s="34">
        <v>131</v>
      </c>
      <c r="O167" s="39">
        <v>0.18</v>
      </c>
      <c r="P167" s="39">
        <v>0.18</v>
      </c>
      <c r="Q167" s="15">
        <f t="shared" si="9"/>
        <v>92.8</v>
      </c>
      <c r="R167" s="15">
        <f t="shared" si="10"/>
        <v>30933.333333333336</v>
      </c>
      <c r="S167" s="44">
        <f t="shared" si="11"/>
        <v>0.71013161922252832</v>
      </c>
      <c r="T167" s="39">
        <v>60</v>
      </c>
      <c r="U167" s="6" t="s">
        <v>61</v>
      </c>
      <c r="V167" t="s">
        <v>284</v>
      </c>
      <c r="Y167">
        <v>0</v>
      </c>
      <c r="Z167">
        <v>1</v>
      </c>
      <c r="AA167" t="s">
        <v>51</v>
      </c>
      <c r="AC167" s="7" t="s">
        <v>52</v>
      </c>
      <c r="AD167" t="s">
        <v>58</v>
      </c>
    </row>
    <row r="168" spans="1:30" x14ac:dyDescent="0.25">
      <c r="A168" t="s">
        <v>285</v>
      </c>
      <c r="B168" t="s">
        <v>286</v>
      </c>
      <c r="C168" s="25">
        <v>44844</v>
      </c>
      <c r="D168" s="15">
        <v>55000</v>
      </c>
      <c r="E168" t="s">
        <v>46</v>
      </c>
      <c r="F168" t="s">
        <v>47</v>
      </c>
      <c r="G168" s="15">
        <v>55000</v>
      </c>
      <c r="H168" s="15">
        <v>29800</v>
      </c>
      <c r="I168" s="20">
        <f t="shared" si="8"/>
        <v>54.181818181818187</v>
      </c>
      <c r="J168" s="15">
        <v>71076</v>
      </c>
      <c r="K168" s="15">
        <f>G168-65076</f>
        <v>-10076</v>
      </c>
      <c r="L168" s="15">
        <v>6000</v>
      </c>
      <c r="M168" s="30">
        <v>80</v>
      </c>
      <c r="N168" s="34">
        <v>135</v>
      </c>
      <c r="O168" s="39">
        <v>0.248</v>
      </c>
      <c r="P168" s="39">
        <v>0.248</v>
      </c>
      <c r="Q168" s="15">
        <f t="shared" si="9"/>
        <v>-125.95</v>
      </c>
      <c r="R168" s="15">
        <f t="shared" si="10"/>
        <v>-40629.032258064515</v>
      </c>
      <c r="S168" s="44">
        <f t="shared" si="11"/>
        <v>-0.93271423916585205</v>
      </c>
      <c r="T168" s="39">
        <v>80</v>
      </c>
      <c r="U168" s="6" t="s">
        <v>61</v>
      </c>
      <c r="V168" t="s">
        <v>287</v>
      </c>
      <c r="Y168">
        <v>0</v>
      </c>
      <c r="Z168">
        <v>1</v>
      </c>
      <c r="AA168" t="s">
        <v>51</v>
      </c>
      <c r="AC168" s="7" t="s">
        <v>52</v>
      </c>
      <c r="AD168" t="s">
        <v>66</v>
      </c>
    </row>
    <row r="169" spans="1:30" x14ac:dyDescent="0.25">
      <c r="A169" t="s">
        <v>288</v>
      </c>
      <c r="B169" t="s">
        <v>289</v>
      </c>
      <c r="C169" s="25">
        <v>44826</v>
      </c>
      <c r="D169" s="15">
        <v>45000</v>
      </c>
      <c r="E169" t="s">
        <v>130</v>
      </c>
      <c r="F169" t="s">
        <v>47</v>
      </c>
      <c r="G169" s="15">
        <v>45000</v>
      </c>
      <c r="H169" s="15">
        <v>17500</v>
      </c>
      <c r="I169" s="20">
        <f t="shared" si="8"/>
        <v>38.888888888888893</v>
      </c>
      <c r="J169" s="15">
        <v>42450</v>
      </c>
      <c r="K169" s="15">
        <f>G169-39450</f>
        <v>5550</v>
      </c>
      <c r="L169" s="15">
        <v>3000</v>
      </c>
      <c r="M169" s="30">
        <v>40</v>
      </c>
      <c r="N169" s="34">
        <v>130</v>
      </c>
      <c r="O169" s="39">
        <v>0.11899999999999999</v>
      </c>
      <c r="P169" s="39">
        <v>0.11899999999999999</v>
      </c>
      <c r="Q169" s="15">
        <f t="shared" si="9"/>
        <v>138.75</v>
      </c>
      <c r="R169" s="15">
        <f t="shared" si="10"/>
        <v>46638.655462184877</v>
      </c>
      <c r="S169" s="44">
        <f t="shared" si="11"/>
        <v>1.070676204366044</v>
      </c>
      <c r="T169" s="39">
        <v>40</v>
      </c>
      <c r="U169" s="6" t="s">
        <v>61</v>
      </c>
      <c r="V169" t="s">
        <v>290</v>
      </c>
      <c r="Y169">
        <v>0</v>
      </c>
      <c r="Z169">
        <v>1</v>
      </c>
      <c r="AA169" t="s">
        <v>51</v>
      </c>
      <c r="AC169" s="7" t="s">
        <v>52</v>
      </c>
      <c r="AD169" t="s">
        <v>66</v>
      </c>
    </row>
    <row r="170" spans="1:30" x14ac:dyDescent="0.25">
      <c r="A170" t="s">
        <v>291</v>
      </c>
      <c r="B170" t="s">
        <v>292</v>
      </c>
      <c r="C170" s="25">
        <v>44811</v>
      </c>
      <c r="D170" s="15">
        <v>17000</v>
      </c>
      <c r="E170" t="s">
        <v>46</v>
      </c>
      <c r="F170" t="s">
        <v>47</v>
      </c>
      <c r="G170" s="15">
        <v>17000</v>
      </c>
      <c r="H170" s="15">
        <v>16100</v>
      </c>
      <c r="I170" s="20">
        <f t="shared" si="8"/>
        <v>94.705882352941174</v>
      </c>
      <c r="J170" s="15">
        <v>34502</v>
      </c>
      <c r="K170" s="15">
        <f>G170-31502</f>
        <v>-14502</v>
      </c>
      <c r="L170" s="15">
        <v>3000</v>
      </c>
      <c r="M170" s="30">
        <v>40</v>
      </c>
      <c r="N170" s="34">
        <v>135</v>
      </c>
      <c r="O170" s="39">
        <v>0.124</v>
      </c>
      <c r="P170" s="39">
        <v>0.124</v>
      </c>
      <c r="Q170" s="15">
        <f t="shared" si="9"/>
        <v>-362.55</v>
      </c>
      <c r="R170" s="15">
        <f t="shared" si="10"/>
        <v>-116951.6129032258</v>
      </c>
      <c r="S170" s="44">
        <f t="shared" si="11"/>
        <v>-2.6848395983293343</v>
      </c>
      <c r="T170" s="39">
        <v>40</v>
      </c>
      <c r="U170" s="6" t="s">
        <v>61</v>
      </c>
      <c r="V170" t="s">
        <v>293</v>
      </c>
      <c r="Y170">
        <v>0</v>
      </c>
      <c r="Z170">
        <v>0</v>
      </c>
      <c r="AA170" t="s">
        <v>51</v>
      </c>
      <c r="AC170" s="7" t="s">
        <v>52</v>
      </c>
      <c r="AD170" t="s">
        <v>66</v>
      </c>
    </row>
    <row r="171" spans="1:30" x14ac:dyDescent="0.25">
      <c r="A171" t="s">
        <v>294</v>
      </c>
      <c r="B171" t="s">
        <v>295</v>
      </c>
      <c r="C171" s="25">
        <v>45211</v>
      </c>
      <c r="D171" s="15">
        <v>85000</v>
      </c>
      <c r="E171" t="s">
        <v>123</v>
      </c>
      <c r="F171" t="s">
        <v>47</v>
      </c>
      <c r="G171" s="15">
        <v>85000</v>
      </c>
      <c r="H171" s="15">
        <v>19800</v>
      </c>
      <c r="I171" s="20">
        <f t="shared" si="8"/>
        <v>23.294117647058822</v>
      </c>
      <c r="J171" s="15">
        <v>41426</v>
      </c>
      <c r="K171" s="15">
        <f>G171-36926</f>
        <v>48074</v>
      </c>
      <c r="L171" s="15">
        <v>4500</v>
      </c>
      <c r="M171" s="30">
        <v>60</v>
      </c>
      <c r="N171" s="34">
        <v>144</v>
      </c>
      <c r="O171" s="39">
        <v>0.19800000000000001</v>
      </c>
      <c r="P171" s="39">
        <v>0.19800000000000001</v>
      </c>
      <c r="Q171" s="15">
        <f t="shared" si="9"/>
        <v>801.23333333333335</v>
      </c>
      <c r="R171" s="15">
        <f t="shared" si="10"/>
        <v>242797.97979797979</v>
      </c>
      <c r="S171" s="44">
        <f t="shared" si="11"/>
        <v>5.5738746510096373</v>
      </c>
      <c r="T171" s="39">
        <v>60</v>
      </c>
      <c r="U171" s="6" t="s">
        <v>61</v>
      </c>
      <c r="V171" t="s">
        <v>296</v>
      </c>
      <c r="Y171">
        <v>0</v>
      </c>
      <c r="Z171">
        <v>1</v>
      </c>
      <c r="AA171" t="s">
        <v>51</v>
      </c>
      <c r="AC171" s="7" t="s">
        <v>52</v>
      </c>
      <c r="AD171" t="s">
        <v>66</v>
      </c>
    </row>
    <row r="172" spans="1:30" x14ac:dyDescent="0.25">
      <c r="A172" t="s">
        <v>297</v>
      </c>
      <c r="B172" t="s">
        <v>298</v>
      </c>
      <c r="C172" s="25">
        <v>45246</v>
      </c>
      <c r="D172" s="15">
        <v>30000</v>
      </c>
      <c r="E172" t="s">
        <v>80</v>
      </c>
      <c r="F172" t="s">
        <v>47</v>
      </c>
      <c r="G172" s="15">
        <v>30000</v>
      </c>
      <c r="H172" s="15">
        <v>43400</v>
      </c>
      <c r="I172" s="20">
        <f t="shared" si="8"/>
        <v>144.66666666666669</v>
      </c>
      <c r="J172" s="15">
        <v>113209</v>
      </c>
      <c r="K172" s="15">
        <f>G172-107209</f>
        <v>-77209</v>
      </c>
      <c r="L172" s="15">
        <v>6000</v>
      </c>
      <c r="M172" s="30">
        <v>60</v>
      </c>
      <c r="N172" s="34">
        <v>144</v>
      </c>
      <c r="O172" s="39">
        <v>0.19800000000000001</v>
      </c>
      <c r="P172" s="39">
        <v>0.19800000000000001</v>
      </c>
      <c r="Q172" s="15">
        <f t="shared" si="9"/>
        <v>-1286.8166666666666</v>
      </c>
      <c r="R172" s="15">
        <f t="shared" si="10"/>
        <v>-389944.44444444444</v>
      </c>
      <c r="S172" s="44">
        <f t="shared" si="11"/>
        <v>-8.9518926640138758</v>
      </c>
      <c r="T172" s="39">
        <v>60</v>
      </c>
      <c r="U172" s="6" t="s">
        <v>61</v>
      </c>
      <c r="Y172">
        <v>0</v>
      </c>
      <c r="Z172">
        <v>1</v>
      </c>
      <c r="AA172" t="s">
        <v>51</v>
      </c>
      <c r="AC172" s="7" t="s">
        <v>52</v>
      </c>
      <c r="AD172" t="s">
        <v>66</v>
      </c>
    </row>
    <row r="173" spans="1:30" x14ac:dyDescent="0.25">
      <c r="A173" t="s">
        <v>299</v>
      </c>
      <c r="B173" t="s">
        <v>300</v>
      </c>
      <c r="C173" s="25">
        <v>44932</v>
      </c>
      <c r="D173" s="15">
        <v>65000</v>
      </c>
      <c r="E173" t="s">
        <v>46</v>
      </c>
      <c r="F173" t="s">
        <v>47</v>
      </c>
      <c r="G173" s="15">
        <v>65000</v>
      </c>
      <c r="H173" s="15">
        <v>31600</v>
      </c>
      <c r="I173" s="20">
        <f t="shared" si="8"/>
        <v>48.615384615384613</v>
      </c>
      <c r="J173" s="15">
        <v>74494</v>
      </c>
      <c r="K173" s="15">
        <f>G173-63619</f>
        <v>1381</v>
      </c>
      <c r="L173" s="15">
        <v>10875</v>
      </c>
      <c r="M173" s="30">
        <v>145</v>
      </c>
      <c r="N173" s="34">
        <v>120</v>
      </c>
      <c r="O173" s="39">
        <v>0.39900000000000002</v>
      </c>
      <c r="P173" s="39">
        <v>0.39900000000000002</v>
      </c>
      <c r="Q173" s="15">
        <f t="shared" si="9"/>
        <v>9.5241379310344829</v>
      </c>
      <c r="R173" s="15">
        <f t="shared" si="10"/>
        <v>3461.1528822055134</v>
      </c>
      <c r="S173" s="44">
        <f t="shared" si="11"/>
        <v>7.9457136873404804E-2</v>
      </c>
      <c r="T173" s="39">
        <v>145</v>
      </c>
      <c r="U173" s="6" t="s">
        <v>61</v>
      </c>
      <c r="V173" t="s">
        <v>301</v>
      </c>
      <c r="Y173">
        <v>0</v>
      </c>
      <c r="Z173">
        <v>1</v>
      </c>
      <c r="AA173" t="s">
        <v>51</v>
      </c>
      <c r="AC173" s="7" t="s">
        <v>52</v>
      </c>
      <c r="AD173" t="s">
        <v>66</v>
      </c>
    </row>
    <row r="174" spans="1:30" x14ac:dyDescent="0.25">
      <c r="A174" t="s">
        <v>302</v>
      </c>
      <c r="B174" t="s">
        <v>303</v>
      </c>
      <c r="C174" s="25">
        <v>44665</v>
      </c>
      <c r="D174" s="15">
        <v>69000</v>
      </c>
      <c r="E174" t="s">
        <v>46</v>
      </c>
      <c r="F174" t="s">
        <v>47</v>
      </c>
      <c r="G174" s="15">
        <v>69000</v>
      </c>
      <c r="H174" s="15">
        <v>34300</v>
      </c>
      <c r="I174" s="20">
        <f t="shared" si="8"/>
        <v>49.710144927536234</v>
      </c>
      <c r="J174" s="15">
        <v>74386</v>
      </c>
      <c r="K174" s="15">
        <f>G174-69136</f>
        <v>-136</v>
      </c>
      <c r="L174" s="15">
        <v>5250</v>
      </c>
      <c r="M174" s="30">
        <v>70</v>
      </c>
      <c r="N174" s="34">
        <v>120</v>
      </c>
      <c r="O174" s="39">
        <v>0.193</v>
      </c>
      <c r="P174" s="39">
        <v>0.193</v>
      </c>
      <c r="Q174" s="15">
        <f t="shared" si="9"/>
        <v>-1.9428571428571428</v>
      </c>
      <c r="R174" s="15">
        <f t="shared" si="10"/>
        <v>-704.66321243523316</v>
      </c>
      <c r="S174" s="44">
        <f t="shared" si="11"/>
        <v>-1.6176841424132993E-2</v>
      </c>
      <c r="T174" s="39">
        <v>70</v>
      </c>
      <c r="U174" s="6" t="s">
        <v>61</v>
      </c>
      <c r="V174" t="s">
        <v>304</v>
      </c>
      <c r="Y174">
        <v>0</v>
      </c>
      <c r="Z174">
        <v>1</v>
      </c>
      <c r="AA174" t="s">
        <v>51</v>
      </c>
      <c r="AC174" s="7" t="s">
        <v>52</v>
      </c>
      <c r="AD174" t="s">
        <v>66</v>
      </c>
    </row>
  </sheetData>
  <conditionalFormatting sqref="A2:AR2 AE3:AR85 A92:AD174">
    <cfRule type="expression" dxfId="1" priority="1" stopIfTrue="1">
      <formula>MOD(ROW(),4)&gt;1</formula>
    </cfRule>
    <cfRule type="expression" dxfId="0" priority="2" stopIfTrue="1">
      <formula>MOD(ROW(),4)&lt;2</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46E9-2258-4961-B6D9-4DDCE44F12CB}">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Analysis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2025-02-03T00:34:30Z</dcterms:created>
  <dcterms:modified xsi:type="dcterms:W3CDTF">2025-02-04T21:46:46Z</dcterms:modified>
</cp:coreProperties>
</file>